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11507\Downloads\"/>
    </mc:Choice>
  </mc:AlternateContent>
  <xr:revisionPtr revIDLastSave="0" documentId="8_{2A4F3CF8-AED6-4B37-A7DC-B9B8CFF510D5}" xr6:coauthVersionLast="47" xr6:coauthVersionMax="47" xr10:uidLastSave="{00000000-0000-0000-0000-000000000000}"/>
  <workbookProtection workbookAlgorithmName="SHA-512" workbookHashValue="2uaqWiLg4EESZTeaXeUiIhf/Q827q8Ku6gmVKgmKBP0mBzzKpNCSmavLfnLAsoG3pS9P2rZmf7EVXWKSsLq20A==" workbookSaltValue="ow16wSkyJp7onInS0RuQrw==" workbookSpinCount="100000" lockStructure="1"/>
  <bookViews>
    <workbookView showSheetTabs="0" xWindow="-120" yWindow="-120" windowWidth="29040" windowHeight="15720" xr2:uid="{C62B8873-714F-4F3D-9C1A-5446ABEFA5B1}"/>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výklopu'!$A$97:$A$138</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výklopu'!$A$96:$A$138</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kombinace_1!$A$3:$A$63</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99" l="1"/>
  <c r="D1" i="53"/>
  <c r="B15" i="53"/>
  <c r="A9" i="63"/>
  <c r="B16" i="53"/>
  <c r="A14" i="63"/>
  <c r="B6" i="53"/>
  <c r="A3" i="63"/>
  <c r="B8" i="53"/>
  <c r="A4" i="63"/>
  <c r="B9" i="53"/>
  <c r="A5" i="63"/>
  <c r="B11" i="53"/>
  <c r="A6" i="63"/>
  <c r="B12" i="53"/>
  <c r="A7" i="63"/>
  <c r="B14" i="53"/>
  <c r="A8" i="63"/>
  <c r="B7" i="53"/>
  <c r="A10" i="63"/>
  <c r="B69" i="53"/>
  <c r="A11" i="63"/>
  <c r="B70" i="53"/>
  <c r="A12" i="63"/>
  <c r="B10" i="53"/>
  <c r="A13" i="63"/>
  <c r="B64" i="53"/>
  <c r="A15" i="63"/>
  <c r="B13" i="53"/>
  <c r="A16" i="63"/>
  <c r="B55" i="53"/>
  <c r="A17" i="63"/>
  <c r="B17" i="53"/>
  <c r="A18" i="63"/>
  <c r="B18" i="53"/>
  <c r="A19" i="63"/>
  <c r="B59" i="53"/>
  <c r="A20" i="63"/>
  <c r="B60" i="53"/>
  <c r="A21" i="63"/>
  <c r="B19" i="53"/>
  <c r="A22" i="63"/>
  <c r="B20" i="53"/>
  <c r="A23" i="63"/>
  <c r="B21" i="53"/>
  <c r="A24" i="63"/>
  <c r="B45" i="53"/>
  <c r="A25" i="63"/>
  <c r="B22" i="53"/>
  <c r="A26" i="63"/>
  <c r="B23" i="53"/>
  <c r="A27" i="63"/>
  <c r="B25" i="53"/>
  <c r="A28" i="63"/>
  <c r="B26" i="53"/>
  <c r="A29" i="63"/>
  <c r="B61" i="53"/>
  <c r="A30" i="63"/>
  <c r="B29" i="53"/>
  <c r="A31" i="63"/>
  <c r="B52" i="53"/>
  <c r="A32" i="63"/>
  <c r="B53" i="53"/>
  <c r="A33" i="63"/>
  <c r="B30" i="53"/>
  <c r="A34" i="63"/>
  <c r="B58" i="53"/>
  <c r="A35" i="63"/>
  <c r="B50" i="53"/>
  <c r="A36" i="63"/>
  <c r="B42" i="53"/>
  <c r="A37" i="63"/>
  <c r="B63" i="53"/>
  <c r="A38" i="63"/>
  <c r="B34" i="53"/>
  <c r="A39" i="63"/>
  <c r="B35" i="53"/>
  <c r="A40" i="63"/>
  <c r="B37" i="53"/>
  <c r="A41" i="63"/>
  <c r="B36" i="53"/>
  <c r="A42" i="63"/>
  <c r="B38" i="53"/>
  <c r="A43" i="63"/>
  <c r="B39" i="53"/>
  <c r="A44" i="63"/>
  <c r="B40" i="53"/>
  <c r="A45" i="63"/>
  <c r="B41" i="53"/>
  <c r="A46" i="63"/>
  <c r="B62" i="53"/>
  <c r="A47" i="63"/>
  <c r="B65" i="53"/>
  <c r="A48" i="63"/>
  <c r="B24" i="53"/>
  <c r="A49" i="63"/>
  <c r="B56" i="53"/>
  <c r="A50" i="63"/>
  <c r="B43" i="53"/>
  <c r="A51" i="63"/>
  <c r="B44" i="53"/>
  <c r="A52" i="63"/>
  <c r="B46" i="53"/>
  <c r="A53" i="63"/>
  <c r="B47" i="53"/>
  <c r="A54" i="63"/>
  <c r="B48" i="53"/>
  <c r="A55" i="63"/>
  <c r="B31" i="53"/>
  <c r="A56" i="63"/>
  <c r="B57" i="53"/>
  <c r="A57" i="63"/>
  <c r="B80" i="53"/>
  <c r="A58" i="63"/>
  <c r="B81" i="53"/>
  <c r="A59" i="63"/>
  <c r="B71" i="53"/>
  <c r="A60" i="63"/>
  <c r="B72" i="53"/>
  <c r="A61" i="63"/>
  <c r="B73" i="53"/>
  <c r="A62" i="63"/>
  <c r="B74" i="53"/>
  <c r="A63" i="63"/>
  <c r="R1" i="63"/>
  <c r="B638" i="53"/>
  <c r="EN3" i="63"/>
  <c r="B639" i="53"/>
  <c r="EN4" i="63"/>
  <c r="B640" i="53"/>
  <c r="EN5" i="63"/>
  <c r="V1" i="63"/>
  <c r="S1" i="63"/>
  <c r="AD54" i="95" a="1"/>
  <c r="AD54" i="95"/>
  <c r="AD55" i="95"/>
  <c r="AD56" i="95"/>
  <c r="AD57" i="95"/>
  <c r="AD58" i="95"/>
  <c r="AD59" i="95"/>
  <c r="AD60" i="95"/>
  <c r="AD61" i="95"/>
  <c r="AD62" i="95"/>
  <c r="AD63" i="95"/>
  <c r="AD64" i="95"/>
  <c r="AD65" i="95"/>
  <c r="AD66" i="95"/>
  <c r="AD67" i="95"/>
  <c r="AD68" i="95"/>
  <c r="AD69" i="95"/>
  <c r="AD70" i="95"/>
  <c r="AD71" i="95"/>
  <c r="AD72" i="95"/>
  <c r="AD73" i="95"/>
  <c r="AD74" i="95"/>
  <c r="AD75" i="95"/>
  <c r="AD76" i="95"/>
  <c r="AD77" i="95"/>
  <c r="AD78" i="95"/>
  <c r="AD79" i="95"/>
  <c r="AD80" i="95"/>
  <c r="AD81" i="95"/>
  <c r="AD82" i="95"/>
  <c r="AD83" i="95"/>
  <c r="AD84" i="95"/>
  <c r="AD85" i="95"/>
  <c r="AD86" i="95"/>
  <c r="AD87" i="95"/>
  <c r="AD88" i="95"/>
  <c r="AD89" i="95"/>
  <c r="AD90" i="95"/>
  <c r="AD91" i="95"/>
  <c r="AD92" i="95"/>
  <c r="AD93" i="95"/>
  <c r="AD94" i="95"/>
  <c r="AD95" i="95"/>
  <c r="AD96" i="95"/>
  <c r="A9" i="61"/>
  <c r="A14" i="61"/>
  <c r="A3" i="61"/>
  <c r="A4" i="61"/>
  <c r="A5" i="61"/>
  <c r="A6" i="61"/>
  <c r="A7" i="61"/>
  <c r="A8" i="61"/>
  <c r="A10" i="61"/>
  <c r="A11" i="61"/>
  <c r="A12" i="61"/>
  <c r="A13"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A42" i="61"/>
  <c r="A43" i="61"/>
  <c r="A44" i="61"/>
  <c r="A45" i="61"/>
  <c r="A46" i="61"/>
  <c r="A47" i="61"/>
  <c r="A48" i="61"/>
  <c r="A49" i="61"/>
  <c r="A50" i="61"/>
  <c r="A51" i="61"/>
  <c r="A52" i="61"/>
  <c r="A53" i="61"/>
  <c r="A54" i="61"/>
  <c r="A55" i="61"/>
  <c r="A56" i="61"/>
  <c r="A57" i="61"/>
  <c r="A58" i="61"/>
  <c r="A59" i="61"/>
  <c r="A60" i="61"/>
  <c r="A61" i="61"/>
  <c r="A62" i="61"/>
  <c r="A63" i="61"/>
  <c r="R1" i="61"/>
  <c r="EN3" i="61"/>
  <c r="EN4" i="61"/>
  <c r="EN5" i="61"/>
  <c r="V1" i="61"/>
  <c r="S1" i="61"/>
  <c r="AD54" i="94" a="1"/>
  <c r="AD54" i="94"/>
  <c r="AD55" i="94"/>
  <c r="AD56" i="94"/>
  <c r="AD57" i="94"/>
  <c r="AD58" i="94"/>
  <c r="AD59" i="94"/>
  <c r="AD60" i="94"/>
  <c r="AD61" i="94"/>
  <c r="AD62" i="94"/>
  <c r="AD63" i="94"/>
  <c r="AD64" i="94"/>
  <c r="AD65" i="94"/>
  <c r="AD66" i="94"/>
  <c r="AD67" i="94"/>
  <c r="AD68" i="94"/>
  <c r="AD69" i="94"/>
  <c r="AD70" i="94"/>
  <c r="AD71" i="94"/>
  <c r="AD72" i="94"/>
  <c r="AD73" i="94"/>
  <c r="AD74" i="94"/>
  <c r="AD75" i="94"/>
  <c r="AD76" i="94"/>
  <c r="AD77" i="94"/>
  <c r="AD78" i="94"/>
  <c r="AD79" i="94"/>
  <c r="AD80" i="94"/>
  <c r="AD81" i="94"/>
  <c r="AD82" i="94"/>
  <c r="AD83" i="94"/>
  <c r="AD84" i="94"/>
  <c r="AD85" i="94"/>
  <c r="AD86" i="94"/>
  <c r="AD87" i="94"/>
  <c r="AD88" i="94"/>
  <c r="AD89" i="94"/>
  <c r="AD90" i="94"/>
  <c r="AD91" i="94"/>
  <c r="AD92" i="94"/>
  <c r="AD93" i="94"/>
  <c r="AD94" i="94"/>
  <c r="AD95" i="94"/>
  <c r="AD96" i="94"/>
  <c r="A9" i="59"/>
  <c r="A14" i="59"/>
  <c r="A3" i="59"/>
  <c r="A4" i="59"/>
  <c r="A5" i="59"/>
  <c r="A6" i="59"/>
  <c r="A7" i="59"/>
  <c r="A8" i="59"/>
  <c r="A10" i="59"/>
  <c r="A11" i="59"/>
  <c r="A12" i="59"/>
  <c r="A13"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R1" i="59"/>
  <c r="EN3" i="59"/>
  <c r="EN4" i="59"/>
  <c r="EN5" i="59"/>
  <c r="V1" i="59"/>
  <c r="S1" i="59"/>
  <c r="AD54" i="93" a="1"/>
  <c r="AD54" i="93"/>
  <c r="AD55" i="93"/>
  <c r="AD56" i="93"/>
  <c r="AD57" i="93"/>
  <c r="AD58" i="93"/>
  <c r="AD59" i="93"/>
  <c r="AD60" i="93"/>
  <c r="AD61" i="93"/>
  <c r="AD62" i="93"/>
  <c r="AD63" i="93"/>
  <c r="AD64" i="93"/>
  <c r="AD65" i="93"/>
  <c r="AD66" i="93"/>
  <c r="AD67" i="93"/>
  <c r="AD68" i="93"/>
  <c r="AD69" i="93"/>
  <c r="AD70" i="93"/>
  <c r="AD71" i="93"/>
  <c r="AD72" i="93"/>
  <c r="AD73" i="93"/>
  <c r="AD74" i="93"/>
  <c r="AD75" i="93"/>
  <c r="AD76" i="93"/>
  <c r="AD77" i="93"/>
  <c r="AD78" i="93"/>
  <c r="AD79" i="93"/>
  <c r="AD80" i="93"/>
  <c r="AD81" i="93"/>
  <c r="AD82" i="93"/>
  <c r="AD83" i="93"/>
  <c r="AD84" i="93"/>
  <c r="AD85" i="93"/>
  <c r="AD86" i="93"/>
  <c r="AD87" i="93"/>
  <c r="AD88" i="93"/>
  <c r="AD89" i="93"/>
  <c r="AD90" i="93"/>
  <c r="AD91" i="93"/>
  <c r="AD92" i="93"/>
  <c r="AD93" i="93"/>
  <c r="AD94" i="93"/>
  <c r="AD95" i="93"/>
  <c r="AD96" i="93"/>
  <c r="A9" i="57"/>
  <c r="A14" i="57"/>
  <c r="A3" i="57"/>
  <c r="A4" i="57"/>
  <c r="A5" i="57"/>
  <c r="A6" i="57"/>
  <c r="A7" i="57"/>
  <c r="A8" i="57"/>
  <c r="A10" i="57"/>
  <c r="A11" i="57"/>
  <c r="A12" i="57"/>
  <c r="A13"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R1" i="57"/>
  <c r="EN3" i="57"/>
  <c r="EN4" i="57"/>
  <c r="EN5" i="57"/>
  <c r="V1" i="57"/>
  <c r="S1" i="57"/>
  <c r="AD54" i="92" a="1"/>
  <c r="AD54" i="92"/>
  <c r="A9" i="55"/>
  <c r="A14" i="55"/>
  <c r="A3" i="55"/>
  <c r="A4" i="55"/>
  <c r="A5" i="55"/>
  <c r="A6" i="55"/>
  <c r="A7" i="55"/>
  <c r="A8" i="55"/>
  <c r="A10" i="55"/>
  <c r="A11" i="55"/>
  <c r="A12" i="55"/>
  <c r="A13"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R1" i="55"/>
  <c r="EN3" i="55"/>
  <c r="EN4" i="55"/>
  <c r="EN5" i="55"/>
  <c r="V1" i="55"/>
  <c r="S1" i="55"/>
  <c r="AD54" i="91" a="1"/>
  <c r="AD54" i="91"/>
  <c r="AD55" i="91"/>
  <c r="AD56" i="91"/>
  <c r="AD57" i="91"/>
  <c r="AD58" i="91"/>
  <c r="AD59" i="91"/>
  <c r="AD60" i="91"/>
  <c r="AD61" i="91"/>
  <c r="AD62" i="91"/>
  <c r="AD63" i="91"/>
  <c r="AD64" i="91"/>
  <c r="AD65" i="91"/>
  <c r="AD66" i="91"/>
  <c r="AD67" i="91"/>
  <c r="AD68" i="91"/>
  <c r="AD69" i="91"/>
  <c r="AD70" i="91"/>
  <c r="AD71" i="91"/>
  <c r="AD72" i="91"/>
  <c r="AD73" i="91"/>
  <c r="AD74" i="91"/>
  <c r="AD75" i="91"/>
  <c r="AD76" i="91"/>
  <c r="AD77" i="91"/>
  <c r="AD78" i="91"/>
  <c r="AD79" i="91"/>
  <c r="AD80" i="91"/>
  <c r="AD81" i="91"/>
  <c r="AD82" i="91"/>
  <c r="AD83" i="91"/>
  <c r="AD84" i="91"/>
  <c r="AD85" i="91"/>
  <c r="AD86" i="91"/>
  <c r="AD87" i="91"/>
  <c r="AD88" i="91"/>
  <c r="AD89" i="91"/>
  <c r="AD90" i="91"/>
  <c r="AD91" i="91"/>
  <c r="AD92" i="91"/>
  <c r="AD93" i="91"/>
  <c r="AD94" i="91"/>
  <c r="AD95" i="91"/>
  <c r="AD96" i="91"/>
  <c r="A3" i="50"/>
  <c r="A9" i="50"/>
  <c r="A14" i="50"/>
  <c r="A4" i="50"/>
  <c r="A5" i="50"/>
  <c r="A6" i="50"/>
  <c r="A7" i="50"/>
  <c r="A8" i="50"/>
  <c r="A10" i="50"/>
  <c r="A11" i="50"/>
  <c r="A12" i="50"/>
  <c r="A13"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47" i="50"/>
  <c r="A48" i="50"/>
  <c r="A49" i="50"/>
  <c r="A50" i="50"/>
  <c r="A51" i="50"/>
  <c r="A52" i="50"/>
  <c r="A53" i="50"/>
  <c r="A54" i="50"/>
  <c r="A55" i="50"/>
  <c r="A56" i="50"/>
  <c r="A57" i="50"/>
  <c r="A58" i="50"/>
  <c r="A59" i="50"/>
  <c r="A60" i="50"/>
  <c r="A61" i="50"/>
  <c r="A62" i="50"/>
  <c r="A63" i="50"/>
  <c r="R1" i="50"/>
  <c r="EN3" i="50"/>
  <c r="EN4" i="50"/>
  <c r="EN5" i="50"/>
  <c r="V1" i="50"/>
  <c r="S1" i="50"/>
  <c r="AM1" i="71"/>
  <c r="AO1" i="99"/>
  <c r="F18" i="50"/>
  <c r="F19" i="50"/>
  <c r="B227" i="53"/>
  <c r="AO2" i="51"/>
  <c r="B228" i="53"/>
  <c r="AO3" i="51"/>
  <c r="B229" i="53"/>
  <c r="AO4" i="51"/>
  <c r="B230" i="53"/>
  <c r="AO5" i="51"/>
  <c r="P82" i="32" a="1"/>
  <c r="P82" i="32"/>
  <c r="AC209" i="99"/>
  <c r="AC173" i="99"/>
  <c r="AC137" i="99"/>
  <c r="AC101" i="99"/>
  <c r="AC65" i="99"/>
  <c r="AC29" i="99"/>
  <c r="AU7" i="95"/>
  <c r="AB23" i="63"/>
  <c r="B560" i="53"/>
  <c r="M12" i="63"/>
  <c r="N12" i="63"/>
  <c r="B559" i="53"/>
  <c r="M11" i="63"/>
  <c r="N11" i="63"/>
  <c r="B558" i="53"/>
  <c r="M10" i="63"/>
  <c r="N10" i="63"/>
  <c r="DN4" i="63"/>
  <c r="DN3" i="63"/>
  <c r="BU2" i="63"/>
  <c r="AU7" i="94"/>
  <c r="AB23" i="61"/>
  <c r="M12" i="61"/>
  <c r="N12" i="61"/>
  <c r="M11" i="61"/>
  <c r="N11" i="61"/>
  <c r="M10" i="61"/>
  <c r="N10" i="61"/>
  <c r="DN4" i="61"/>
  <c r="DN3" i="61"/>
  <c r="BU2" i="61"/>
  <c r="AU7" i="93"/>
  <c r="AB23" i="59"/>
  <c r="M12" i="59"/>
  <c r="N12" i="59"/>
  <c r="M11" i="59"/>
  <c r="N11" i="59"/>
  <c r="M10" i="59"/>
  <c r="N10" i="59"/>
  <c r="DN4" i="59"/>
  <c r="DN3" i="59"/>
  <c r="BU2" i="59"/>
  <c r="AU7" i="92"/>
  <c r="AB23" i="57"/>
  <c r="M12" i="57"/>
  <c r="N12" i="57"/>
  <c r="M11" i="57"/>
  <c r="N11" i="57"/>
  <c r="M10" i="57"/>
  <c r="N10" i="57"/>
  <c r="DN4" i="57"/>
  <c r="DN3" i="57"/>
  <c r="BU2" i="57"/>
  <c r="F18" i="63"/>
  <c r="F19" i="63"/>
  <c r="P82" i="95" a="1"/>
  <c r="P82" i="95"/>
  <c r="B659" i="53"/>
  <c r="AB40" i="63"/>
  <c r="B660" i="53"/>
  <c r="AB41" i="63"/>
  <c r="B551" i="53"/>
  <c r="BQ2" i="51"/>
  <c r="B185" i="53"/>
  <c r="B186" i="53"/>
  <c r="O65" i="95" a="1"/>
  <c r="O65" i="95"/>
  <c r="B563" i="53"/>
  <c r="X3" i="63"/>
  <c r="B564" i="53"/>
  <c r="X4" i="63"/>
  <c r="B565" i="53"/>
  <c r="X5" i="63"/>
  <c r="T54" i="95" a="1"/>
  <c r="T54" i="95"/>
  <c r="T55" i="95"/>
  <c r="T56" i="95"/>
  <c r="AV7" i="95"/>
  <c r="AA29" i="95"/>
  <c r="AD42" i="95"/>
  <c r="T48" i="95"/>
  <c r="J14" i="63"/>
  <c r="J15" i="63"/>
  <c r="T47" i="95"/>
  <c r="AJ36" i="95" a="1"/>
  <c r="AJ36" i="95"/>
  <c r="AJ37" i="95"/>
  <c r="AJ38" i="95"/>
  <c r="AJ39" i="95"/>
  <c r="AJ40" i="95"/>
  <c r="DP2" i="63"/>
  <c r="B552" i="53"/>
  <c r="DP3" i="63"/>
  <c r="AU9" i="95"/>
  <c r="T36" i="95" a="1"/>
  <c r="T36" i="95"/>
  <c r="T37" i="95"/>
  <c r="T38" i="95"/>
  <c r="T39" i="95"/>
  <c r="T40" i="95"/>
  <c r="T41" i="95"/>
  <c r="T42" i="95"/>
  <c r="T43" i="95"/>
  <c r="T44" i="95"/>
  <c r="B553" i="53"/>
  <c r="DN2" i="63"/>
  <c r="P36" i="95" a="1"/>
  <c r="P36" i="95"/>
  <c r="L36" i="95" a="1"/>
  <c r="L36" i="95"/>
  <c r="BR2" i="51"/>
  <c r="M36" i="95"/>
  <c r="B36" i="95" a="1"/>
  <c r="B36" i="95"/>
  <c r="AQ35" i="95"/>
  <c r="AT33" i="95"/>
  <c r="AU30" i="95"/>
  <c r="AB29" i="95"/>
  <c r="BY3" i="63"/>
  <c r="BY4" i="63"/>
  <c r="BY5" i="63"/>
  <c r="BY6" i="63"/>
  <c r="AU25" i="95"/>
  <c r="AU23" i="95"/>
  <c r="B173" i="53"/>
  <c r="B21" i="95"/>
  <c r="B242" i="53"/>
  <c r="BY32" i="63"/>
  <c r="BY33" i="63"/>
  <c r="BY34" i="63"/>
  <c r="B589" i="53"/>
  <c r="BZ32" i="63"/>
  <c r="B591" i="53"/>
  <c r="CA32" i="63"/>
  <c r="BZ33" i="63"/>
  <c r="CA33" i="63"/>
  <c r="B590" i="53"/>
  <c r="BZ34" i="63"/>
  <c r="B592" i="53"/>
  <c r="CA34" i="63"/>
  <c r="BY35" i="63"/>
  <c r="BZ35" i="63"/>
  <c r="CA35" i="63"/>
  <c r="J20" i="95"/>
  <c r="B20" i="95"/>
  <c r="B664" i="53"/>
  <c r="CD11" i="63"/>
  <c r="CD13" i="63"/>
  <c r="CD16" i="63"/>
  <c r="CD17" i="63"/>
  <c r="CD32" i="63"/>
  <c r="CD33" i="63"/>
  <c r="CD34" i="63"/>
  <c r="CD35" i="63"/>
  <c r="AV19" i="95"/>
  <c r="AU19" i="95"/>
  <c r="B19" i="95"/>
  <c r="B18" i="95"/>
  <c r="AV17" i="95"/>
  <c r="B17" i="95"/>
  <c r="B232" i="53"/>
  <c r="J16" i="95"/>
  <c r="B218" i="53"/>
  <c r="B16" i="95"/>
  <c r="AT11" i="95"/>
  <c r="BY13" i="63"/>
  <c r="BY14" i="63"/>
  <c r="BY15" i="63"/>
  <c r="AU10" i="95"/>
  <c r="B9" i="95"/>
  <c r="S8" i="95"/>
  <c r="G7" i="95"/>
  <c r="AB4" i="95"/>
  <c r="B169" i="53"/>
  <c r="A2" i="95"/>
  <c r="F18" i="61"/>
  <c r="F19" i="61"/>
  <c r="P82" i="94" a="1"/>
  <c r="P82" i="94"/>
  <c r="AB40" i="61"/>
  <c r="AB41" i="61"/>
  <c r="O65" i="94" a="1"/>
  <c r="O65" i="94"/>
  <c r="X3" i="61"/>
  <c r="X4" i="61"/>
  <c r="X5" i="61"/>
  <c r="T54" i="94" a="1"/>
  <c r="T54" i="94"/>
  <c r="T55" i="94"/>
  <c r="T56" i="94"/>
  <c r="AV7" i="94"/>
  <c r="AA29" i="94"/>
  <c r="AD42" i="94"/>
  <c r="T48" i="94"/>
  <c r="J14" i="61"/>
  <c r="J15" i="61"/>
  <c r="T47" i="94"/>
  <c r="AJ36" i="94" a="1"/>
  <c r="AJ36" i="94"/>
  <c r="AJ37" i="94"/>
  <c r="AJ38" i="94"/>
  <c r="AJ39" i="94"/>
  <c r="AJ40" i="94"/>
  <c r="DP2" i="61"/>
  <c r="DP3" i="61"/>
  <c r="AU9" i="94"/>
  <c r="T36" i="94" a="1"/>
  <c r="T36" i="94"/>
  <c r="T37" i="94"/>
  <c r="T38" i="94"/>
  <c r="T39" i="94"/>
  <c r="T40" i="94"/>
  <c r="T41" i="94"/>
  <c r="T42" i="94"/>
  <c r="T43" i="94"/>
  <c r="T44" i="94"/>
  <c r="DN2" i="61"/>
  <c r="P36" i="94" a="1"/>
  <c r="P36" i="94"/>
  <c r="L36" i="94" a="1"/>
  <c r="L36" i="94"/>
  <c r="M36" i="94"/>
  <c r="B36" i="94" a="1"/>
  <c r="B36" i="94"/>
  <c r="AT35" i="94"/>
  <c r="AT33" i="94"/>
  <c r="AU30" i="94"/>
  <c r="AB29" i="94"/>
  <c r="BY3" i="61"/>
  <c r="BY4" i="61"/>
  <c r="BY5" i="61"/>
  <c r="BY6" i="61"/>
  <c r="AU25" i="94"/>
  <c r="AU23" i="94"/>
  <c r="B21" i="94"/>
  <c r="BY32" i="61"/>
  <c r="BY33" i="61"/>
  <c r="BY34" i="61"/>
  <c r="BY35" i="61"/>
  <c r="J20" i="94"/>
  <c r="B20" i="94"/>
  <c r="CD11" i="61"/>
  <c r="CD13" i="61"/>
  <c r="CD16" i="61"/>
  <c r="CD17" i="61"/>
  <c r="CD32" i="61"/>
  <c r="CD33" i="61"/>
  <c r="CD34" i="61"/>
  <c r="CD35" i="61"/>
  <c r="AV19" i="94"/>
  <c r="AU19" i="94"/>
  <c r="B19" i="94"/>
  <c r="B18" i="94"/>
  <c r="AV17" i="94"/>
  <c r="B17" i="94"/>
  <c r="J16" i="94"/>
  <c r="B16" i="94"/>
  <c r="AT11" i="94"/>
  <c r="BY13" i="61"/>
  <c r="BY14" i="61"/>
  <c r="BY15" i="61"/>
  <c r="AU10" i="94"/>
  <c r="B9" i="94"/>
  <c r="S8" i="94"/>
  <c r="G7" i="94"/>
  <c r="AB4" i="94"/>
  <c r="A2" i="94"/>
  <c r="F18" i="59"/>
  <c r="F19" i="59"/>
  <c r="P82" i="93" a="1"/>
  <c r="P82" i="93"/>
  <c r="AB40" i="59"/>
  <c r="AB41" i="59"/>
  <c r="O65" i="93" a="1"/>
  <c r="O65" i="93"/>
  <c r="X3" i="59"/>
  <c r="X4" i="59"/>
  <c r="X5" i="59"/>
  <c r="T54" i="93" a="1"/>
  <c r="T54" i="93"/>
  <c r="T55" i="93"/>
  <c r="T56" i="93"/>
  <c r="AV7" i="93"/>
  <c r="AA29" i="93"/>
  <c r="AD42" i="93"/>
  <c r="T48" i="93"/>
  <c r="J14" i="59"/>
  <c r="J15" i="59"/>
  <c r="T47" i="93"/>
  <c r="AJ36" i="93" a="1"/>
  <c r="AJ36" i="93"/>
  <c r="AJ37" i="93"/>
  <c r="AJ38" i="93"/>
  <c r="AJ39" i="93"/>
  <c r="AJ40" i="93"/>
  <c r="DP2" i="59"/>
  <c r="DP3" i="59"/>
  <c r="AU9" i="93"/>
  <c r="T36" i="93" a="1"/>
  <c r="T36" i="93"/>
  <c r="T37" i="93"/>
  <c r="T38" i="93"/>
  <c r="T39" i="93"/>
  <c r="T40" i="93"/>
  <c r="T41" i="93"/>
  <c r="T42" i="93"/>
  <c r="T43" i="93"/>
  <c r="T44" i="93"/>
  <c r="DN2" i="59"/>
  <c r="P36" i="93" a="1"/>
  <c r="P36" i="93"/>
  <c r="L36" i="93" a="1"/>
  <c r="L36" i="93"/>
  <c r="M36" i="93"/>
  <c r="B36" i="93" a="1"/>
  <c r="B36" i="93"/>
  <c r="AT35" i="93"/>
  <c r="AT33" i="93"/>
  <c r="AU30" i="93"/>
  <c r="AB29" i="93"/>
  <c r="BY3" i="59"/>
  <c r="BY4" i="59"/>
  <c r="BY5" i="59"/>
  <c r="BY6" i="59"/>
  <c r="AU25" i="93"/>
  <c r="AU23" i="93"/>
  <c r="B21" i="93"/>
  <c r="BY32" i="59"/>
  <c r="BY33" i="59"/>
  <c r="BY34" i="59"/>
  <c r="BY35" i="59"/>
  <c r="J20" i="93"/>
  <c r="B20" i="93"/>
  <c r="CD11" i="59"/>
  <c r="CD13" i="59"/>
  <c r="CD16" i="59"/>
  <c r="CD17" i="59"/>
  <c r="CD32" i="59"/>
  <c r="CD33" i="59"/>
  <c r="CD34" i="59"/>
  <c r="CD35" i="59"/>
  <c r="AV19" i="93"/>
  <c r="AU19" i="93"/>
  <c r="B19" i="93"/>
  <c r="B18" i="93"/>
  <c r="AV17" i="93"/>
  <c r="B17" i="93"/>
  <c r="J16" i="93"/>
  <c r="B16" i="93"/>
  <c r="AT11" i="93"/>
  <c r="BY13" i="59"/>
  <c r="BY14" i="59"/>
  <c r="BY15" i="59"/>
  <c r="AU10" i="93"/>
  <c r="B9" i="93"/>
  <c r="S8" i="93"/>
  <c r="G7" i="93"/>
  <c r="AB4" i="93"/>
  <c r="A2" i="93"/>
  <c r="F18" i="57"/>
  <c r="F19" i="57"/>
  <c r="P82" i="92" a="1"/>
  <c r="P82" i="92"/>
  <c r="AB40" i="57"/>
  <c r="AB41" i="57"/>
  <c r="C2" i="52"/>
  <c r="B582" i="53"/>
  <c r="E2" i="52"/>
  <c r="B585" i="53"/>
  <c r="F2" i="52"/>
  <c r="G2" i="52"/>
  <c r="C3" i="52"/>
  <c r="B583" i="53"/>
  <c r="E3" i="52"/>
  <c r="F3" i="52"/>
  <c r="G3" i="52"/>
  <c r="C4" i="52"/>
  <c r="E4" i="52"/>
  <c r="G4" i="52"/>
  <c r="C5" i="52"/>
  <c r="B584" i="53"/>
  <c r="E5" i="52"/>
  <c r="F5" i="52"/>
  <c r="G5" i="52"/>
  <c r="B628" i="53"/>
  <c r="K1" i="52"/>
  <c r="L2" i="52"/>
  <c r="B629" i="53"/>
  <c r="M1" i="52"/>
  <c r="N2" i="52"/>
  <c r="B630" i="53"/>
  <c r="O1" i="52"/>
  <c r="P2" i="52"/>
  <c r="B631" i="53"/>
  <c r="Q1" i="52"/>
  <c r="R2" i="52"/>
  <c r="B632" i="53"/>
  <c r="S1" i="52"/>
  <c r="T2" i="52"/>
  <c r="B633" i="53"/>
  <c r="U1" i="52"/>
  <c r="V2" i="52"/>
  <c r="B634" i="53"/>
  <c r="W1" i="52"/>
  <c r="X2" i="52"/>
  <c r="L3" i="52"/>
  <c r="N3" i="52"/>
  <c r="P3" i="52"/>
  <c r="R3" i="52"/>
  <c r="T3" i="52"/>
  <c r="V3" i="52"/>
  <c r="X3" i="52"/>
  <c r="L4" i="52"/>
  <c r="N4" i="52"/>
  <c r="P4" i="52"/>
  <c r="R4" i="52"/>
  <c r="T4" i="52"/>
  <c r="V4" i="52"/>
  <c r="X4" i="52"/>
  <c r="L5" i="52"/>
  <c r="N5" i="52"/>
  <c r="P5" i="52"/>
  <c r="R5" i="52"/>
  <c r="T5" i="52"/>
  <c r="V5" i="52"/>
  <c r="X5" i="52"/>
  <c r="C6" i="52"/>
  <c r="E6" i="52"/>
  <c r="G6" i="52"/>
  <c r="R6" i="52"/>
  <c r="T6" i="52"/>
  <c r="B554" i="53"/>
  <c r="C7" i="52"/>
  <c r="E7" i="52"/>
  <c r="F7" i="52"/>
  <c r="G7" i="52"/>
  <c r="L7" i="52"/>
  <c r="N7" i="52"/>
  <c r="P7" i="52"/>
  <c r="R7" i="52"/>
  <c r="T7" i="52"/>
  <c r="V7" i="52"/>
  <c r="X7" i="52"/>
  <c r="C8" i="52"/>
  <c r="E8" i="52"/>
  <c r="F8" i="52"/>
  <c r="G8" i="52"/>
  <c r="L8" i="52"/>
  <c r="N8" i="52"/>
  <c r="P8" i="52"/>
  <c r="R8" i="52"/>
  <c r="T8" i="52"/>
  <c r="V8" i="52"/>
  <c r="X8" i="52"/>
  <c r="B555" i="53"/>
  <c r="C9" i="52"/>
  <c r="E9" i="52"/>
  <c r="F9" i="52"/>
  <c r="G9" i="52"/>
  <c r="L9" i="52"/>
  <c r="N9" i="52"/>
  <c r="P9" i="52"/>
  <c r="R9" i="52"/>
  <c r="T9" i="52"/>
  <c r="V9" i="52"/>
  <c r="X9" i="52"/>
  <c r="C10" i="52"/>
  <c r="E10" i="52"/>
  <c r="F10" i="52"/>
  <c r="G10" i="52"/>
  <c r="L10" i="52"/>
  <c r="N10" i="52"/>
  <c r="P10" i="52"/>
  <c r="R10" i="52"/>
  <c r="T10" i="52"/>
  <c r="V10" i="52"/>
  <c r="X10" i="52"/>
  <c r="C11" i="52"/>
  <c r="E11" i="52"/>
  <c r="F11" i="52"/>
  <c r="G11" i="52"/>
  <c r="L11" i="52"/>
  <c r="N11" i="52"/>
  <c r="P11" i="52"/>
  <c r="R11" i="52"/>
  <c r="T11" i="52"/>
  <c r="V11" i="52"/>
  <c r="X11" i="52"/>
  <c r="C12" i="52"/>
  <c r="E12" i="52"/>
  <c r="B586" i="53"/>
  <c r="F12" i="52"/>
  <c r="G12" i="52"/>
  <c r="L12" i="52"/>
  <c r="N12" i="52"/>
  <c r="P12" i="52"/>
  <c r="R12" i="52"/>
  <c r="T12" i="52"/>
  <c r="V12" i="52"/>
  <c r="X12" i="52"/>
  <c r="C13" i="52"/>
  <c r="E13" i="52"/>
  <c r="F13" i="52"/>
  <c r="G13" i="52"/>
  <c r="L13" i="52"/>
  <c r="N13" i="52"/>
  <c r="P13" i="52"/>
  <c r="R13" i="52"/>
  <c r="T13" i="52"/>
  <c r="V13" i="52"/>
  <c r="X13" i="52"/>
  <c r="C14" i="52"/>
  <c r="E14" i="52"/>
  <c r="F14" i="52"/>
  <c r="G14" i="52"/>
  <c r="L14" i="52"/>
  <c r="N14" i="52"/>
  <c r="P14" i="52"/>
  <c r="R14" i="52"/>
  <c r="T14" i="52"/>
  <c r="V14" i="52"/>
  <c r="X14" i="52"/>
  <c r="C15" i="52"/>
  <c r="E15" i="52"/>
  <c r="F15" i="52"/>
  <c r="G15" i="52"/>
  <c r="L15" i="52"/>
  <c r="N15" i="52"/>
  <c r="P15" i="52"/>
  <c r="R15" i="52"/>
  <c r="T15" i="52"/>
  <c r="V15" i="52"/>
  <c r="X15" i="52"/>
  <c r="C16" i="52"/>
  <c r="E16" i="52"/>
  <c r="F16" i="52"/>
  <c r="G16" i="52"/>
  <c r="L16" i="52"/>
  <c r="N16" i="52"/>
  <c r="P16" i="52"/>
  <c r="R16" i="52"/>
  <c r="T16" i="52"/>
  <c r="V16" i="52"/>
  <c r="X16" i="52"/>
  <c r="C17" i="52"/>
  <c r="E17" i="52"/>
  <c r="F17" i="52"/>
  <c r="G17" i="52"/>
  <c r="L17" i="52"/>
  <c r="N17" i="52"/>
  <c r="P17" i="52"/>
  <c r="R17" i="52"/>
  <c r="T17" i="52"/>
  <c r="V17" i="52"/>
  <c r="X17" i="52"/>
  <c r="C18" i="52"/>
  <c r="E18" i="52"/>
  <c r="F18" i="52"/>
  <c r="G18" i="52"/>
  <c r="L18" i="52"/>
  <c r="N18" i="52"/>
  <c r="P18" i="52"/>
  <c r="R18" i="52"/>
  <c r="T18" i="52"/>
  <c r="V18" i="52"/>
  <c r="X18" i="52"/>
  <c r="C19" i="52"/>
  <c r="E19" i="52"/>
  <c r="F19" i="52"/>
  <c r="G19" i="52"/>
  <c r="L19" i="52"/>
  <c r="N19" i="52"/>
  <c r="P19" i="52"/>
  <c r="R19" i="52"/>
  <c r="T19" i="52"/>
  <c r="V19" i="52"/>
  <c r="X19" i="52"/>
  <c r="C20" i="52"/>
  <c r="E20" i="52"/>
  <c r="F20" i="52"/>
  <c r="G20" i="52"/>
  <c r="L20" i="52"/>
  <c r="N20" i="52"/>
  <c r="P20" i="52"/>
  <c r="R20" i="52"/>
  <c r="T20" i="52"/>
  <c r="V20" i="52"/>
  <c r="X20" i="52"/>
  <c r="C21" i="52"/>
  <c r="E21" i="52"/>
  <c r="F21" i="52"/>
  <c r="G21" i="52"/>
  <c r="L21" i="52"/>
  <c r="N21" i="52"/>
  <c r="P21" i="52"/>
  <c r="R21" i="52"/>
  <c r="T21" i="52"/>
  <c r="V21" i="52"/>
  <c r="X21" i="52"/>
  <c r="C22" i="52"/>
  <c r="E22" i="52"/>
  <c r="F22" i="52"/>
  <c r="G22" i="52"/>
  <c r="L22" i="52"/>
  <c r="N22" i="52"/>
  <c r="P22" i="52"/>
  <c r="R22" i="52"/>
  <c r="T22" i="52"/>
  <c r="V22" i="52"/>
  <c r="X22" i="52"/>
  <c r="C23" i="52"/>
  <c r="E23" i="52"/>
  <c r="F23" i="52"/>
  <c r="G23" i="52"/>
  <c r="L23" i="52"/>
  <c r="N23" i="52"/>
  <c r="P23" i="52"/>
  <c r="R23" i="52"/>
  <c r="T23" i="52"/>
  <c r="V23" i="52"/>
  <c r="X23" i="52"/>
  <c r="C24" i="52"/>
  <c r="E24" i="52"/>
  <c r="F24" i="52"/>
  <c r="G24" i="52"/>
  <c r="L24" i="52"/>
  <c r="N24" i="52"/>
  <c r="P24" i="52"/>
  <c r="R24" i="52"/>
  <c r="T24" i="52"/>
  <c r="V24" i="52"/>
  <c r="X24" i="52"/>
  <c r="C25" i="52"/>
  <c r="E25" i="52"/>
  <c r="F25" i="52"/>
  <c r="G25" i="52"/>
  <c r="L25" i="52"/>
  <c r="N25" i="52"/>
  <c r="P25" i="52"/>
  <c r="R25" i="52"/>
  <c r="T25" i="52"/>
  <c r="V25" i="52"/>
  <c r="X25" i="52"/>
  <c r="C26" i="52"/>
  <c r="E26" i="52"/>
  <c r="F26" i="52"/>
  <c r="G26" i="52"/>
  <c r="L26" i="52"/>
  <c r="N26" i="52"/>
  <c r="P26" i="52"/>
  <c r="R26" i="52"/>
  <c r="T26" i="52"/>
  <c r="V26" i="52"/>
  <c r="X26" i="52"/>
  <c r="C27" i="52"/>
  <c r="E27" i="52"/>
  <c r="F27" i="52"/>
  <c r="G27" i="52"/>
  <c r="L27" i="52"/>
  <c r="N27" i="52"/>
  <c r="P27" i="52"/>
  <c r="R27" i="52"/>
  <c r="T27" i="52"/>
  <c r="V27" i="52"/>
  <c r="X27" i="52"/>
  <c r="C28" i="52"/>
  <c r="E28" i="52"/>
  <c r="G28" i="52"/>
  <c r="R28" i="52"/>
  <c r="T28" i="52"/>
  <c r="C29" i="52"/>
  <c r="E29" i="52"/>
  <c r="F29" i="52"/>
  <c r="G29" i="52"/>
  <c r="L29" i="52"/>
  <c r="N29" i="52"/>
  <c r="P29" i="52"/>
  <c r="R29" i="52"/>
  <c r="T29" i="52"/>
  <c r="V29" i="52"/>
  <c r="X29" i="52"/>
  <c r="C30" i="52"/>
  <c r="E30" i="52"/>
  <c r="F30" i="52"/>
  <c r="G30" i="52"/>
  <c r="L30" i="52"/>
  <c r="N30" i="52"/>
  <c r="P30" i="52"/>
  <c r="R30" i="52"/>
  <c r="T30" i="52"/>
  <c r="V30" i="52"/>
  <c r="X30" i="52"/>
  <c r="C31" i="52"/>
  <c r="E31" i="52"/>
  <c r="F31" i="52"/>
  <c r="G31" i="52"/>
  <c r="L31" i="52"/>
  <c r="N31" i="52"/>
  <c r="P31" i="52"/>
  <c r="R31" i="52"/>
  <c r="T31" i="52"/>
  <c r="V31" i="52"/>
  <c r="X31" i="52"/>
  <c r="C32" i="52"/>
  <c r="E32" i="52"/>
  <c r="F32" i="52"/>
  <c r="G32" i="52"/>
  <c r="L32" i="52"/>
  <c r="N32" i="52"/>
  <c r="P32" i="52"/>
  <c r="R32" i="52"/>
  <c r="T32" i="52"/>
  <c r="V32" i="52"/>
  <c r="X32" i="52"/>
  <c r="C33" i="52"/>
  <c r="E33" i="52"/>
  <c r="F33" i="52"/>
  <c r="G33" i="52"/>
  <c r="L33" i="52"/>
  <c r="N33" i="52"/>
  <c r="P33" i="52"/>
  <c r="R33" i="52"/>
  <c r="T33" i="52"/>
  <c r="V33" i="52"/>
  <c r="X33" i="52"/>
  <c r="C34" i="52"/>
  <c r="E34" i="52"/>
  <c r="F34" i="52"/>
  <c r="G34" i="52"/>
  <c r="L34" i="52"/>
  <c r="N34" i="52"/>
  <c r="P34" i="52"/>
  <c r="R34" i="52"/>
  <c r="T34" i="52"/>
  <c r="V34" i="52"/>
  <c r="X34" i="52"/>
  <c r="C35" i="52"/>
  <c r="E35" i="52"/>
  <c r="F35" i="52"/>
  <c r="G35" i="52"/>
  <c r="L35" i="52"/>
  <c r="N35" i="52"/>
  <c r="P35" i="52"/>
  <c r="R35" i="52"/>
  <c r="T35" i="52"/>
  <c r="V35" i="52"/>
  <c r="X35" i="52"/>
  <c r="C36" i="52"/>
  <c r="E36" i="52"/>
  <c r="F36" i="52"/>
  <c r="G36" i="52"/>
  <c r="L36" i="52"/>
  <c r="N36" i="52"/>
  <c r="P36" i="52"/>
  <c r="R36" i="52"/>
  <c r="T36" i="52"/>
  <c r="V36" i="52"/>
  <c r="X36" i="52"/>
  <c r="C37" i="52"/>
  <c r="E37" i="52"/>
  <c r="F37" i="52"/>
  <c r="G37" i="52"/>
  <c r="L37" i="52"/>
  <c r="N37" i="52"/>
  <c r="P37" i="52"/>
  <c r="R37" i="52"/>
  <c r="T37" i="52"/>
  <c r="V37" i="52"/>
  <c r="X37" i="52"/>
  <c r="C38" i="52"/>
  <c r="E38" i="52"/>
  <c r="F38" i="52"/>
  <c r="G38" i="52"/>
  <c r="L38" i="52"/>
  <c r="N38" i="52"/>
  <c r="P38" i="52"/>
  <c r="R38" i="52"/>
  <c r="T38" i="52"/>
  <c r="V38" i="52"/>
  <c r="X38" i="52"/>
  <c r="C39" i="52"/>
  <c r="E39" i="52"/>
  <c r="F39" i="52"/>
  <c r="G39" i="52"/>
  <c r="L39" i="52"/>
  <c r="N39" i="52"/>
  <c r="P39" i="52"/>
  <c r="R39" i="52"/>
  <c r="T39" i="52"/>
  <c r="V39" i="52"/>
  <c r="X39" i="52"/>
  <c r="C40" i="52"/>
  <c r="E40" i="52"/>
  <c r="F40" i="52"/>
  <c r="G40" i="52"/>
  <c r="L40" i="52"/>
  <c r="N40" i="52"/>
  <c r="P40" i="52"/>
  <c r="R40" i="52"/>
  <c r="T40" i="52"/>
  <c r="V40" i="52"/>
  <c r="X40" i="52"/>
  <c r="C41" i="52"/>
  <c r="E41" i="52"/>
  <c r="F41" i="52"/>
  <c r="G41" i="52"/>
  <c r="L41" i="52"/>
  <c r="N41" i="52"/>
  <c r="P41" i="52"/>
  <c r="R41" i="52"/>
  <c r="T41" i="52"/>
  <c r="V41" i="52"/>
  <c r="X41" i="52"/>
  <c r="C42" i="52"/>
  <c r="E42" i="52"/>
  <c r="F42" i="52"/>
  <c r="G42" i="52"/>
  <c r="L42" i="52"/>
  <c r="N42" i="52"/>
  <c r="P42" i="52"/>
  <c r="R42" i="52"/>
  <c r="T42" i="52"/>
  <c r="V42" i="52"/>
  <c r="X42" i="52"/>
  <c r="C43" i="52"/>
  <c r="E43" i="52"/>
  <c r="F43" i="52"/>
  <c r="G43" i="52"/>
  <c r="L43" i="52"/>
  <c r="N43" i="52"/>
  <c r="P43" i="52"/>
  <c r="R43" i="52"/>
  <c r="T43" i="52"/>
  <c r="V43" i="52"/>
  <c r="X43" i="52"/>
  <c r="C44" i="52"/>
  <c r="E44" i="52"/>
  <c r="F44" i="52"/>
  <c r="G44" i="52"/>
  <c r="L44" i="52"/>
  <c r="N44" i="52"/>
  <c r="P44" i="52"/>
  <c r="R44" i="52"/>
  <c r="T44" i="52"/>
  <c r="V44" i="52"/>
  <c r="X44" i="52"/>
  <c r="C45" i="52"/>
  <c r="E45" i="52"/>
  <c r="F45" i="52"/>
  <c r="G45" i="52"/>
  <c r="L45" i="52"/>
  <c r="N45" i="52"/>
  <c r="P45" i="52"/>
  <c r="R45" i="52"/>
  <c r="T45" i="52"/>
  <c r="V45" i="52"/>
  <c r="X45" i="52"/>
  <c r="C46" i="52"/>
  <c r="E46" i="52"/>
  <c r="F46" i="52"/>
  <c r="G46" i="52"/>
  <c r="L46" i="52"/>
  <c r="N46" i="52"/>
  <c r="P46" i="52"/>
  <c r="R46" i="52"/>
  <c r="T46" i="52"/>
  <c r="V46" i="52"/>
  <c r="X46" i="52"/>
  <c r="C47" i="52"/>
  <c r="E47" i="52"/>
  <c r="F47" i="52"/>
  <c r="G47" i="52"/>
  <c r="L47" i="52"/>
  <c r="N47" i="52"/>
  <c r="P47" i="52"/>
  <c r="R47" i="52"/>
  <c r="T47" i="52"/>
  <c r="V47" i="52"/>
  <c r="X47" i="52"/>
  <c r="C48" i="52"/>
  <c r="E48" i="52"/>
  <c r="F48" i="52"/>
  <c r="G48" i="52"/>
  <c r="L48" i="52"/>
  <c r="N48" i="52"/>
  <c r="P48" i="52"/>
  <c r="R48" i="52"/>
  <c r="T48" i="52"/>
  <c r="V48" i="52"/>
  <c r="X48" i="52"/>
  <c r="C49" i="52"/>
  <c r="E49" i="52"/>
  <c r="F49" i="52"/>
  <c r="G49" i="52"/>
  <c r="L49" i="52"/>
  <c r="N49" i="52"/>
  <c r="P49" i="52"/>
  <c r="R49" i="52"/>
  <c r="T49" i="52"/>
  <c r="V49" i="52"/>
  <c r="X49" i="52"/>
  <c r="C50" i="52"/>
  <c r="E50" i="52"/>
  <c r="F50" i="52"/>
  <c r="G50" i="52"/>
  <c r="L50" i="52"/>
  <c r="N50" i="52"/>
  <c r="P50" i="52"/>
  <c r="R50" i="52"/>
  <c r="T50" i="52"/>
  <c r="V50" i="52"/>
  <c r="X50" i="52"/>
  <c r="C51" i="52"/>
  <c r="E51" i="52"/>
  <c r="F51" i="52"/>
  <c r="G51" i="52"/>
  <c r="L51" i="52"/>
  <c r="N51" i="52"/>
  <c r="P51" i="52"/>
  <c r="R51" i="52"/>
  <c r="T51" i="52"/>
  <c r="V51" i="52"/>
  <c r="X51" i="52"/>
  <c r="C52" i="52"/>
  <c r="E52" i="52"/>
  <c r="F52" i="52"/>
  <c r="G52" i="52"/>
  <c r="L52" i="52"/>
  <c r="N52" i="52"/>
  <c r="P52" i="52"/>
  <c r="R52" i="52"/>
  <c r="T52" i="52"/>
  <c r="V52" i="52"/>
  <c r="X52" i="52"/>
  <c r="C53" i="52"/>
  <c r="E53" i="52"/>
  <c r="F53" i="52"/>
  <c r="G53" i="52"/>
  <c r="L53" i="52"/>
  <c r="N53" i="52"/>
  <c r="P53" i="52"/>
  <c r="R53" i="52"/>
  <c r="T53" i="52"/>
  <c r="V53" i="52"/>
  <c r="X53" i="52"/>
  <c r="C54" i="52"/>
  <c r="E54" i="52"/>
  <c r="F54" i="52"/>
  <c r="G54" i="52"/>
  <c r="L54" i="52"/>
  <c r="N54" i="52"/>
  <c r="P54" i="52"/>
  <c r="R54" i="52"/>
  <c r="T54" i="52"/>
  <c r="V54" i="52"/>
  <c r="X54" i="52"/>
  <c r="C55" i="52"/>
  <c r="E55" i="52"/>
  <c r="F55" i="52"/>
  <c r="G55" i="52"/>
  <c r="L55" i="52"/>
  <c r="N55" i="52"/>
  <c r="P55" i="52"/>
  <c r="R55" i="52"/>
  <c r="T55" i="52"/>
  <c r="V55" i="52"/>
  <c r="X55" i="52"/>
  <c r="C56" i="52"/>
  <c r="E56" i="52"/>
  <c r="F56" i="52"/>
  <c r="G56" i="52"/>
  <c r="L56" i="52"/>
  <c r="N56" i="52"/>
  <c r="P56" i="52"/>
  <c r="R56" i="52"/>
  <c r="T56" i="52"/>
  <c r="V56" i="52"/>
  <c r="X56" i="52"/>
  <c r="C57" i="52"/>
  <c r="E57" i="52"/>
  <c r="F57" i="52"/>
  <c r="G57" i="52"/>
  <c r="L57" i="52"/>
  <c r="N57" i="52"/>
  <c r="P57" i="52"/>
  <c r="R57" i="52"/>
  <c r="T57" i="52"/>
  <c r="V57" i="52"/>
  <c r="X57" i="52"/>
  <c r="C58" i="52"/>
  <c r="E58" i="52"/>
  <c r="F58" i="52"/>
  <c r="G58" i="52"/>
  <c r="L58" i="52"/>
  <c r="N58" i="52"/>
  <c r="P58" i="52"/>
  <c r="R58" i="52"/>
  <c r="T58" i="52"/>
  <c r="V58" i="52"/>
  <c r="X58" i="52"/>
  <c r="C59" i="52"/>
  <c r="E59" i="52"/>
  <c r="F59" i="52"/>
  <c r="G59" i="52"/>
  <c r="L59" i="52"/>
  <c r="N59" i="52"/>
  <c r="P59" i="52"/>
  <c r="R59" i="52"/>
  <c r="T59" i="52"/>
  <c r="V59" i="52"/>
  <c r="X59" i="52"/>
  <c r="C60" i="52"/>
  <c r="E60" i="52"/>
  <c r="F60" i="52"/>
  <c r="G60" i="52"/>
  <c r="L60" i="52"/>
  <c r="N60" i="52"/>
  <c r="P60" i="52"/>
  <c r="R60" i="52"/>
  <c r="T60" i="52"/>
  <c r="V60" i="52"/>
  <c r="X60" i="52"/>
  <c r="C61" i="52"/>
  <c r="E61" i="52"/>
  <c r="F61" i="52"/>
  <c r="G61" i="52"/>
  <c r="L61" i="52"/>
  <c r="N61" i="52"/>
  <c r="P61" i="52"/>
  <c r="R61" i="52"/>
  <c r="T61" i="52"/>
  <c r="V61" i="52"/>
  <c r="X61" i="52"/>
  <c r="C62" i="52"/>
  <c r="E62" i="52"/>
  <c r="F62" i="52"/>
  <c r="G62" i="52"/>
  <c r="L62" i="52"/>
  <c r="N62" i="52"/>
  <c r="P62" i="52"/>
  <c r="R62" i="52"/>
  <c r="T62" i="52"/>
  <c r="V62" i="52"/>
  <c r="X62" i="52"/>
  <c r="C63" i="52"/>
  <c r="E63" i="52"/>
  <c r="F63" i="52"/>
  <c r="G63" i="52"/>
  <c r="L63" i="52"/>
  <c r="N63" i="52"/>
  <c r="P63" i="52"/>
  <c r="R63" i="52"/>
  <c r="T63" i="52"/>
  <c r="V63" i="52"/>
  <c r="X63" i="52"/>
  <c r="C64" i="52"/>
  <c r="E64" i="52"/>
  <c r="F64" i="52"/>
  <c r="G64" i="52"/>
  <c r="L64" i="52"/>
  <c r="N64" i="52"/>
  <c r="P64" i="52"/>
  <c r="R64" i="52"/>
  <c r="T64" i="52"/>
  <c r="V64" i="52"/>
  <c r="X64" i="52"/>
  <c r="C65" i="52"/>
  <c r="E65" i="52"/>
  <c r="F65" i="52"/>
  <c r="G65" i="52"/>
  <c r="L65" i="52"/>
  <c r="N65" i="52"/>
  <c r="P65" i="52"/>
  <c r="R65" i="52"/>
  <c r="T65" i="52"/>
  <c r="V65" i="52"/>
  <c r="X65" i="52"/>
  <c r="C66" i="52"/>
  <c r="E66" i="52"/>
  <c r="F66" i="52"/>
  <c r="G66" i="52"/>
  <c r="L66" i="52"/>
  <c r="N66" i="52"/>
  <c r="P66" i="52"/>
  <c r="R66" i="52"/>
  <c r="T66" i="52"/>
  <c r="V66" i="52"/>
  <c r="X66" i="52"/>
  <c r="J65" i="92"/>
  <c r="J66" i="92"/>
  <c r="J67" i="92"/>
  <c r="J68" i="92"/>
  <c r="J69" i="92"/>
  <c r="J70" i="92"/>
  <c r="J71" i="92"/>
  <c r="O65" i="92" a="1"/>
  <c r="O65" i="92"/>
  <c r="X3" i="57"/>
  <c r="X4" i="57"/>
  <c r="X5" i="57"/>
  <c r="T54" i="92" a="1"/>
  <c r="T54" i="92"/>
  <c r="T55" i="92"/>
  <c r="T56" i="92"/>
  <c r="AV7" i="92"/>
  <c r="AA29" i="92"/>
  <c r="AD42" i="92"/>
  <c r="T48" i="92"/>
  <c r="J14" i="57"/>
  <c r="J15" i="57"/>
  <c r="T47" i="92"/>
  <c r="AJ36" i="92" a="1"/>
  <c r="AJ36" i="92"/>
  <c r="AJ37" i="92"/>
  <c r="AJ38" i="92"/>
  <c r="AJ39" i="92"/>
  <c r="AJ40" i="92"/>
  <c r="DP2" i="57"/>
  <c r="DP3" i="57"/>
  <c r="AU9" i="92"/>
  <c r="T36" i="92" a="1"/>
  <c r="T36" i="92"/>
  <c r="T37" i="92"/>
  <c r="T38" i="92"/>
  <c r="T39" i="92"/>
  <c r="T40" i="92"/>
  <c r="T41" i="92"/>
  <c r="T42" i="92"/>
  <c r="T43" i="92"/>
  <c r="T44" i="92"/>
  <c r="DN2" i="57"/>
  <c r="P36" i="92" a="1"/>
  <c r="P36" i="92"/>
  <c r="L36" i="92" a="1"/>
  <c r="L36" i="92"/>
  <c r="M36" i="92"/>
  <c r="B36" i="92" a="1"/>
  <c r="B36" i="92"/>
  <c r="AT35" i="92"/>
  <c r="AT33" i="92"/>
  <c r="AU30" i="92"/>
  <c r="AB4" i="92"/>
  <c r="AB29" i="92"/>
  <c r="BY3" i="57"/>
  <c r="BY4" i="57"/>
  <c r="BY5" i="57"/>
  <c r="BY6" i="57"/>
  <c r="AU25" i="92"/>
  <c r="AU23" i="92"/>
  <c r="B21" i="92"/>
  <c r="BY32" i="57"/>
  <c r="BY33" i="57"/>
  <c r="BY34" i="57"/>
  <c r="BY35" i="57"/>
  <c r="J20" i="92"/>
  <c r="B20" i="92"/>
  <c r="CD11" i="57"/>
  <c r="CD13" i="57"/>
  <c r="CD16" i="57"/>
  <c r="CD17" i="57"/>
  <c r="CD32" i="57"/>
  <c r="CD33" i="57"/>
  <c r="CD34" i="57"/>
  <c r="CD35" i="57"/>
  <c r="AV19" i="92"/>
  <c r="AU19" i="92"/>
  <c r="B19" i="92"/>
  <c r="B18" i="92"/>
  <c r="AV17" i="92"/>
  <c r="B17" i="92"/>
  <c r="J16" i="92"/>
  <c r="B16" i="92"/>
  <c r="AT8" i="92"/>
  <c r="AY2" i="92"/>
  <c r="AW2" i="92"/>
  <c r="AX2" i="92"/>
  <c r="AZ2" i="92"/>
  <c r="BA2" i="92"/>
  <c r="AT9" i="92"/>
  <c r="AX3" i="92"/>
  <c r="AY3" i="92"/>
  <c r="AT11" i="92"/>
  <c r="BY13" i="57"/>
  <c r="BY14" i="57"/>
  <c r="BY15" i="57"/>
  <c r="AU10" i="92"/>
  <c r="B9" i="92"/>
  <c r="S8" i="92"/>
  <c r="G7" i="92"/>
  <c r="A2" i="92"/>
  <c r="Q67" i="63"/>
  <c r="EF65" i="63"/>
  <c r="CC35" i="63"/>
  <c r="CC34" i="63"/>
  <c r="CC33" i="63"/>
  <c r="CC32" i="63"/>
  <c r="AB32" i="63"/>
  <c r="AB30" i="63"/>
  <c r="F17" i="63"/>
  <c r="F16" i="63"/>
  <c r="F15" i="63"/>
  <c r="F14" i="63"/>
  <c r="B651" i="53"/>
  <c r="FA9" i="63"/>
  <c r="B650" i="53"/>
  <c r="FA8" i="63"/>
  <c r="B649" i="53"/>
  <c r="FA7" i="63"/>
  <c r="B648" i="53"/>
  <c r="FA6" i="63"/>
  <c r="B647" i="53"/>
  <c r="FA5" i="63"/>
  <c r="B167" i="53"/>
  <c r="EY5" i="63"/>
  <c r="B646" i="53"/>
  <c r="FA4" i="63"/>
  <c r="B166" i="53"/>
  <c r="EY4" i="63"/>
  <c r="B645" i="53"/>
  <c r="FA3" i="63"/>
  <c r="B165" i="53"/>
  <c r="EY3" i="63"/>
  <c r="BU3" i="63"/>
  <c r="B644" i="53"/>
  <c r="FA2" i="63"/>
  <c r="B164" i="53"/>
  <c r="EY2" i="63"/>
  <c r="P1" i="63" a="1"/>
  <c r="P1" i="63"/>
  <c r="Q67" i="61"/>
  <c r="EF65" i="61"/>
  <c r="CC35" i="61"/>
  <c r="CA35" i="61"/>
  <c r="BZ35" i="61"/>
  <c r="CC34" i="61"/>
  <c r="CA34" i="61"/>
  <c r="BZ34" i="61"/>
  <c r="CC33" i="61"/>
  <c r="CA33" i="61"/>
  <c r="BZ33" i="61"/>
  <c r="CC32" i="61"/>
  <c r="CA32" i="61"/>
  <c r="BZ32" i="61"/>
  <c r="AB32" i="61"/>
  <c r="AB30" i="61"/>
  <c r="F17" i="61"/>
  <c r="F16" i="61"/>
  <c r="F15" i="61"/>
  <c r="F14" i="61"/>
  <c r="FA9" i="61"/>
  <c r="FA8" i="61"/>
  <c r="FA7" i="61"/>
  <c r="FA6" i="61"/>
  <c r="FA5" i="61"/>
  <c r="EY5" i="61"/>
  <c r="FA4" i="61"/>
  <c r="EY4" i="61"/>
  <c r="FA3" i="61"/>
  <c r="EY3" i="61"/>
  <c r="BU3" i="61"/>
  <c r="FA2" i="61"/>
  <c r="EY2" i="61"/>
  <c r="P1" i="61" a="1"/>
  <c r="P1" i="61"/>
  <c r="Q67" i="59"/>
  <c r="EF65" i="59"/>
  <c r="CC35" i="59"/>
  <c r="CA35" i="59"/>
  <c r="BZ35" i="59"/>
  <c r="CC34" i="59"/>
  <c r="CA34" i="59"/>
  <c r="BZ34" i="59"/>
  <c r="CC33" i="59"/>
  <c r="CA33" i="59"/>
  <c r="BZ33" i="59"/>
  <c r="CC32" i="59"/>
  <c r="CA32" i="59"/>
  <c r="BZ32" i="59"/>
  <c r="AB32" i="59"/>
  <c r="AB30" i="59"/>
  <c r="F17" i="59"/>
  <c r="F16" i="59"/>
  <c r="F15" i="59"/>
  <c r="F14" i="59"/>
  <c r="FA9" i="59"/>
  <c r="FA8" i="59"/>
  <c r="FA7" i="59"/>
  <c r="FA6" i="59"/>
  <c r="FA5" i="59"/>
  <c r="EY5" i="59"/>
  <c r="FA4" i="59"/>
  <c r="EY4" i="59"/>
  <c r="FA3" i="59"/>
  <c r="EY3" i="59"/>
  <c r="BU3" i="59"/>
  <c r="FA2" i="59"/>
  <c r="EY2" i="59"/>
  <c r="P1" i="59" a="1"/>
  <c r="P1" i="59"/>
  <c r="Q67" i="57"/>
  <c r="EF65" i="57"/>
  <c r="CC35" i="57"/>
  <c r="CA35" i="57"/>
  <c r="BZ35" i="57"/>
  <c r="CC34" i="57"/>
  <c r="CA34" i="57"/>
  <c r="BZ34" i="57"/>
  <c r="CC33" i="57"/>
  <c r="CA33" i="57"/>
  <c r="BZ33" i="57"/>
  <c r="CC32" i="57"/>
  <c r="CA32" i="57"/>
  <c r="BZ32" i="57"/>
  <c r="AB32" i="57"/>
  <c r="AB30" i="57"/>
  <c r="F17" i="57"/>
  <c r="F16" i="57"/>
  <c r="F15" i="57"/>
  <c r="F14" i="57"/>
  <c r="FA9" i="57"/>
  <c r="FA8" i="57"/>
  <c r="FA7" i="57"/>
  <c r="FA6" i="57"/>
  <c r="FA5" i="57"/>
  <c r="EY5" i="57"/>
  <c r="FA4" i="57"/>
  <c r="EY4" i="57"/>
  <c r="FA3" i="57"/>
  <c r="EY3" i="57"/>
  <c r="BU3" i="57"/>
  <c r="FA2" i="57"/>
  <c r="EY2" i="57"/>
  <c r="P1" i="57" a="1"/>
  <c r="P1" i="57"/>
  <c r="M12" i="55"/>
  <c r="N12" i="55"/>
  <c r="M11" i="55"/>
  <c r="N11" i="55"/>
  <c r="M10" i="55"/>
  <c r="N10" i="55"/>
  <c r="AU7" i="91"/>
  <c r="AB23" i="55"/>
  <c r="DN4" i="55"/>
  <c r="DN3" i="55"/>
  <c r="BU2" i="55"/>
  <c r="Q67" i="55"/>
  <c r="EF65" i="55"/>
  <c r="AB41" i="55"/>
  <c r="AB40" i="55"/>
  <c r="CD35" i="55"/>
  <c r="CC35" i="55"/>
  <c r="CA35" i="55"/>
  <c r="BZ35" i="55"/>
  <c r="BY35" i="55"/>
  <c r="CD34" i="55"/>
  <c r="CC34" i="55"/>
  <c r="CA34" i="55"/>
  <c r="BZ34" i="55"/>
  <c r="BY34" i="55"/>
  <c r="CD33" i="55"/>
  <c r="CC33" i="55"/>
  <c r="CA33" i="55"/>
  <c r="BZ33" i="55"/>
  <c r="BY33" i="55"/>
  <c r="CD32" i="55"/>
  <c r="CC32" i="55"/>
  <c r="CA32" i="55"/>
  <c r="BZ32" i="55"/>
  <c r="BY32" i="55"/>
  <c r="AB32" i="55"/>
  <c r="AB30" i="55"/>
  <c r="F19" i="55"/>
  <c r="F18" i="55"/>
  <c r="CD17" i="55"/>
  <c r="F17" i="55"/>
  <c r="CD16" i="55"/>
  <c r="F16" i="55"/>
  <c r="BY15" i="55"/>
  <c r="J15" i="55"/>
  <c r="F15" i="55"/>
  <c r="BY14" i="55"/>
  <c r="J14" i="55"/>
  <c r="F14" i="55"/>
  <c r="CD13" i="55"/>
  <c r="BY13" i="55"/>
  <c r="CD11" i="55"/>
  <c r="FA9" i="55"/>
  <c r="FA8" i="55"/>
  <c r="FA7" i="55"/>
  <c r="FA6" i="55"/>
  <c r="BY6" i="55"/>
  <c r="FA5" i="55"/>
  <c r="EY5" i="55"/>
  <c r="BY5" i="55"/>
  <c r="X5" i="55"/>
  <c r="FA4" i="55"/>
  <c r="EY4" i="55"/>
  <c r="BY4" i="55"/>
  <c r="X4" i="55"/>
  <c r="FA3" i="55"/>
  <c r="EY3" i="55"/>
  <c r="DP3" i="55"/>
  <c r="BY3" i="55"/>
  <c r="BU3" i="55"/>
  <c r="X3" i="55"/>
  <c r="FA2" i="55"/>
  <c r="EY2" i="55"/>
  <c r="DP2" i="55"/>
  <c r="DN2" i="55"/>
  <c r="P1" i="55" a="1"/>
  <c r="P1" i="55"/>
  <c r="P82" i="91" a="1"/>
  <c r="P82" i="91"/>
  <c r="O65" i="91" a="1"/>
  <c r="O65" i="91"/>
  <c r="X54" i="91" a="1"/>
  <c r="X54" i="91"/>
  <c r="X55" i="91"/>
  <c r="X56" i="91"/>
  <c r="T54" i="91" a="1"/>
  <c r="T54" i="91"/>
  <c r="T55" i="91"/>
  <c r="T56" i="91"/>
  <c r="AV7" i="91"/>
  <c r="AA29" i="91"/>
  <c r="AD42" i="91"/>
  <c r="T48" i="91"/>
  <c r="T47" i="91"/>
  <c r="AJ36" i="91" a="1"/>
  <c r="AJ36" i="91"/>
  <c r="AJ37" i="91"/>
  <c r="AJ38" i="91"/>
  <c r="AJ39" i="91"/>
  <c r="AJ40" i="91"/>
  <c r="AU9" i="91"/>
  <c r="T36" i="91" a="1"/>
  <c r="T36" i="91"/>
  <c r="T37" i="91"/>
  <c r="T38" i="91"/>
  <c r="T39" i="91"/>
  <c r="T40" i="91"/>
  <c r="T41" i="91"/>
  <c r="T42" i="91"/>
  <c r="T43" i="91"/>
  <c r="T44" i="91"/>
  <c r="P36" i="91" a="1"/>
  <c r="P36" i="91"/>
  <c r="L36" i="91" a="1"/>
  <c r="L36" i="91"/>
  <c r="M36" i="91"/>
  <c r="B36" i="91" a="1"/>
  <c r="B36" i="91"/>
  <c r="AT35" i="91"/>
  <c r="AT33" i="91"/>
  <c r="AU30" i="91"/>
  <c r="AB29" i="91"/>
  <c r="AU25" i="91"/>
  <c r="AU23" i="91"/>
  <c r="B21" i="91"/>
  <c r="J20" i="91"/>
  <c r="B20" i="91"/>
  <c r="AV19" i="91"/>
  <c r="AU19" i="91"/>
  <c r="B19" i="91"/>
  <c r="B18" i="91"/>
  <c r="AV17" i="91"/>
  <c r="B17" i="91"/>
  <c r="J16" i="91"/>
  <c r="B16" i="91"/>
  <c r="AT11" i="91"/>
  <c r="AU10" i="91"/>
  <c r="B9" i="91"/>
  <c r="S8" i="91"/>
  <c r="G7" i="91"/>
  <c r="AB4" i="91"/>
  <c r="A2" i="91"/>
  <c r="J71" i="95"/>
  <c r="H71" i="95"/>
  <c r="J70" i="95"/>
  <c r="H70" i="95"/>
  <c r="J69" i="95"/>
  <c r="H69" i="95"/>
  <c r="J68" i="95"/>
  <c r="H68" i="95"/>
  <c r="J67" i="95"/>
  <c r="H67" i="95"/>
  <c r="J66" i="95"/>
  <c r="H66" i="95"/>
  <c r="J65" i="95"/>
  <c r="H65" i="95"/>
  <c r="B231" i="53"/>
  <c r="K61" i="95"/>
  <c r="H61" i="95"/>
  <c r="T59" i="95"/>
  <c r="AD44" i="95"/>
  <c r="AT43" i="95"/>
  <c r="B27" i="53"/>
  <c r="B32" i="53"/>
  <c r="B49" i="53"/>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C54" i="53"/>
  <c r="D54" i="53"/>
  <c r="C55" i="53"/>
  <c r="D55" i="53"/>
  <c r="C56" i="53"/>
  <c r="D56" i="53"/>
  <c r="C57" i="53"/>
  <c r="D57" i="53"/>
  <c r="C58" i="53"/>
  <c r="D58" i="53"/>
  <c r="C59" i="53"/>
  <c r="D59" i="53"/>
  <c r="C60" i="53"/>
  <c r="D60" i="53"/>
  <c r="C61" i="53"/>
  <c r="D61" i="53"/>
  <c r="C62" i="53"/>
  <c r="D62" i="53"/>
  <c r="C63" i="53"/>
  <c r="D63" i="53"/>
  <c r="C64" i="53"/>
  <c r="D64" i="53"/>
  <c r="C65" i="53"/>
  <c r="D65" i="53"/>
  <c r="C69" i="53"/>
  <c r="D69" i="53"/>
  <c r="C70" i="53"/>
  <c r="D70" i="53"/>
  <c r="C71" i="53"/>
  <c r="D71" i="53"/>
  <c r="C72" i="53"/>
  <c r="D72" i="53"/>
  <c r="C73" i="53"/>
  <c r="D73" i="53"/>
  <c r="C74" i="53"/>
  <c r="D74" i="53"/>
  <c r="C77" i="53"/>
  <c r="D77" i="53"/>
  <c r="D78" i="53"/>
  <c r="C79" i="53"/>
  <c r="D79" i="53"/>
  <c r="C80" i="53"/>
  <c r="D80" i="53"/>
  <c r="C81" i="53"/>
  <c r="D81" i="53"/>
  <c r="D82" i="53"/>
  <c r="AJ43" i="95"/>
  <c r="B181" i="53"/>
  <c r="AI43" i="95"/>
  <c r="AE41" i="95"/>
  <c r="U41" i="95"/>
  <c r="AF40" i="95"/>
  <c r="AE40" i="95"/>
  <c r="AF39" i="95"/>
  <c r="AE39" i="95"/>
  <c r="AF38" i="95"/>
  <c r="AE38" i="95"/>
  <c r="L38" i="95" a="1"/>
  <c r="L38" i="95"/>
  <c r="M38" i="95"/>
  <c r="L42" i="95"/>
  <c r="L41" i="95"/>
  <c r="L40" i="95"/>
  <c r="L39" i="95"/>
  <c r="B99" i="53"/>
  <c r="B102" i="53"/>
  <c r="B103" i="53"/>
  <c r="B104" i="53"/>
  <c r="C99" i="53"/>
  <c r="C100" i="53"/>
  <c r="C101" i="53"/>
  <c r="C102" i="53"/>
  <c r="C103" i="53"/>
  <c r="C104" i="53"/>
  <c r="B105" i="53"/>
  <c r="C105" i="53"/>
  <c r="B106" i="53"/>
  <c r="C106" i="53"/>
  <c r="B107" i="53"/>
  <c r="C107" i="53"/>
  <c r="B108" i="53"/>
  <c r="C108" i="53"/>
  <c r="B109" i="53"/>
  <c r="C109" i="53"/>
  <c r="B110" i="53"/>
  <c r="C110" i="53"/>
  <c r="B111" i="53"/>
  <c r="C111" i="53"/>
  <c r="B113" i="53"/>
  <c r="C113" i="53"/>
  <c r="B114" i="53"/>
  <c r="C114" i="53"/>
  <c r="B115" i="53"/>
  <c r="C115" i="53"/>
  <c r="B116" i="53"/>
  <c r="C116" i="53"/>
  <c r="B117" i="53"/>
  <c r="C117" i="53"/>
  <c r="B118" i="53"/>
  <c r="C118" i="53"/>
  <c r="B119" i="53"/>
  <c r="C119" i="53"/>
  <c r="B120" i="53"/>
  <c r="C120" i="53"/>
  <c r="B121" i="53"/>
  <c r="C121" i="53"/>
  <c r="B122" i="53"/>
  <c r="C122" i="53"/>
  <c r="B123" i="53"/>
  <c r="C123" i="53"/>
  <c r="B125" i="53"/>
  <c r="C125" i="53"/>
  <c r="B126" i="53"/>
  <c r="C126" i="53"/>
  <c r="B127" i="53"/>
  <c r="C127" i="53"/>
  <c r="B128" i="53"/>
  <c r="C128" i="53"/>
  <c r="B129" i="53"/>
  <c r="C129" i="53"/>
  <c r="B130" i="53"/>
  <c r="C130" i="53"/>
  <c r="B131" i="53"/>
  <c r="C131" i="53"/>
  <c r="B133" i="53"/>
  <c r="C133" i="53"/>
  <c r="B135" i="53"/>
  <c r="C135" i="53"/>
  <c r="B136" i="53"/>
  <c r="C136" i="53"/>
  <c r="B137" i="53"/>
  <c r="C137" i="53"/>
  <c r="B138" i="53"/>
  <c r="C138" i="53"/>
  <c r="B139" i="53"/>
  <c r="C139" i="53"/>
  <c r="B140" i="53"/>
  <c r="C140" i="53"/>
  <c r="B141" i="53"/>
  <c r="C141" i="53"/>
  <c r="B144" i="53"/>
  <c r="C144" i="53"/>
  <c r="B145" i="53"/>
  <c r="C145" i="53"/>
  <c r="B154" i="53"/>
  <c r="C154" i="53"/>
  <c r="B155" i="53"/>
  <c r="C155" i="53"/>
  <c r="B160" i="53"/>
  <c r="C160" i="53"/>
  <c r="B161" i="53"/>
  <c r="C161" i="53"/>
  <c r="B162" i="53"/>
  <c r="C162" i="53"/>
  <c r="B163" i="53"/>
  <c r="C163" i="53"/>
  <c r="C164" i="53"/>
  <c r="C165" i="53"/>
  <c r="C166" i="53"/>
  <c r="C167" i="53"/>
  <c r="AT37" i="95"/>
  <c r="AF37" i="95"/>
  <c r="B556" i="53"/>
  <c r="B557" i="53"/>
  <c r="W37" i="95" a="1"/>
  <c r="W37" i="95"/>
  <c r="AF36" i="95"/>
  <c r="L33" i="95"/>
  <c r="B641" i="53"/>
  <c r="B33" i="95"/>
  <c r="B171" i="53"/>
  <c r="B32" i="95"/>
  <c r="AU31" i="95"/>
  <c r="B567" i="53"/>
  <c r="AO31" i="95"/>
  <c r="B175" i="53"/>
  <c r="AF30" i="95"/>
  <c r="P30" i="95"/>
  <c r="AT13" i="95"/>
  <c r="AT15" i="95"/>
  <c r="AT17" i="95"/>
  <c r="AW24" i="95"/>
  <c r="L30" i="95"/>
  <c r="B178" i="53"/>
  <c r="B30" i="95"/>
  <c r="B225" i="53"/>
  <c r="B241" i="53"/>
  <c r="D29" i="95"/>
  <c r="B174" i="53"/>
  <c r="B28" i="95"/>
  <c r="B550" i="53"/>
  <c r="B27" i="95"/>
  <c r="B549" i="53"/>
  <c r="B26" i="95"/>
  <c r="B548" i="53"/>
  <c r="AF25" i="95"/>
  <c r="B625" i="53"/>
  <c r="B25" i="95"/>
  <c r="AU24" i="95"/>
  <c r="AS24" i="95"/>
  <c r="AC24" i="95"/>
  <c r="B177" i="53"/>
  <c r="S24" i="95"/>
  <c r="B562" i="53"/>
  <c r="B24" i="95"/>
  <c r="B573" i="53"/>
  <c r="H23" i="95"/>
  <c r="AZ21" i="95"/>
  <c r="AY21" i="95"/>
  <c r="B176" i="53"/>
  <c r="AR19" i="95"/>
  <c r="B636" i="53"/>
  <c r="AL19" i="95"/>
  <c r="S18" i="95"/>
  <c r="AU17" i="95"/>
  <c r="AU15" i="95"/>
  <c r="AU16" i="95"/>
  <c r="AV15" i="95"/>
  <c r="AV16" i="95"/>
  <c r="AW16" i="95"/>
  <c r="AW15" i="95"/>
  <c r="B545" i="53"/>
  <c r="B15" i="95"/>
  <c r="AM14" i="95"/>
  <c r="AD14" i="95"/>
  <c r="B14" i="95"/>
  <c r="S13" i="95"/>
  <c r="B544" i="53"/>
  <c r="B13" i="95"/>
  <c r="B258" i="53"/>
  <c r="B12" i="95"/>
  <c r="B543" i="53"/>
  <c r="B11" i="95"/>
  <c r="B637" i="53"/>
  <c r="AE10" i="95"/>
  <c r="S10" i="95"/>
  <c r="AT9" i="95"/>
  <c r="AF9" i="95"/>
  <c r="AT8" i="95"/>
  <c r="AC8" i="95"/>
  <c r="B172" i="53"/>
  <c r="E8" i="95"/>
  <c r="B653" i="53"/>
  <c r="B8" i="95"/>
  <c r="B572" i="53"/>
  <c r="S7" i="95"/>
  <c r="B542" i="53"/>
  <c r="B7" i="95"/>
  <c r="V5" i="95"/>
  <c r="R5" i="95"/>
  <c r="N5" i="95"/>
  <c r="J5" i="95"/>
  <c r="F5" i="95"/>
  <c r="B5" i="95"/>
  <c r="BI3" i="95"/>
  <c r="BD3" i="95"/>
  <c r="AW2" i="95"/>
  <c r="AX3" i="95"/>
  <c r="AY3" i="95"/>
  <c r="AY2" i="95"/>
  <c r="AX2" i="95"/>
  <c r="AZ2" i="95"/>
  <c r="BA2" i="95"/>
  <c r="B540" i="53"/>
  <c r="AP2" i="95"/>
  <c r="J71" i="94"/>
  <c r="H71" i="94"/>
  <c r="J70" i="94"/>
  <c r="H70" i="94"/>
  <c r="J69" i="94"/>
  <c r="H69" i="94"/>
  <c r="J68" i="94"/>
  <c r="H68" i="94"/>
  <c r="J67" i="94"/>
  <c r="H67" i="94"/>
  <c r="J66" i="94"/>
  <c r="H66" i="94"/>
  <c r="J65" i="94"/>
  <c r="H65" i="94"/>
  <c r="K61" i="94"/>
  <c r="H61" i="94"/>
  <c r="T59" i="94"/>
  <c r="AD44" i="94"/>
  <c r="AT43" i="94"/>
  <c r="AJ43" i="94"/>
  <c r="AI43" i="94"/>
  <c r="AE41" i="94"/>
  <c r="U41" i="94"/>
  <c r="AF40" i="94"/>
  <c r="AE40" i="94"/>
  <c r="AF39" i="94"/>
  <c r="AE39" i="94"/>
  <c r="AF38" i="94"/>
  <c r="AE38" i="94"/>
  <c r="L38" i="94" a="1"/>
  <c r="L38" i="94"/>
  <c r="M38" i="94"/>
  <c r="L42" i="94"/>
  <c r="L41" i="94"/>
  <c r="L40" i="94"/>
  <c r="L39" i="94"/>
  <c r="AT37" i="94"/>
  <c r="AF37" i="94"/>
  <c r="W37" i="94" a="1"/>
  <c r="W37" i="94"/>
  <c r="AF36" i="94"/>
  <c r="L33" i="94"/>
  <c r="B33" i="94"/>
  <c r="B32" i="94"/>
  <c r="AU31" i="94"/>
  <c r="AO31" i="94"/>
  <c r="AF30" i="94"/>
  <c r="P30" i="94"/>
  <c r="AT13" i="94"/>
  <c r="AT15" i="94"/>
  <c r="AT17" i="94"/>
  <c r="AW24" i="94"/>
  <c r="L30" i="94"/>
  <c r="B30" i="94"/>
  <c r="D29" i="94"/>
  <c r="B28" i="94"/>
  <c r="B27" i="94"/>
  <c r="B26" i="94"/>
  <c r="AF25" i="94"/>
  <c r="B25" i="94"/>
  <c r="AU24" i="94"/>
  <c r="AS24" i="94"/>
  <c r="AC24" i="94"/>
  <c r="S24" i="94"/>
  <c r="B24" i="94"/>
  <c r="H23" i="94"/>
  <c r="AZ21" i="94"/>
  <c r="AY21" i="94"/>
  <c r="AR19" i="94"/>
  <c r="AL19" i="94"/>
  <c r="S18" i="94"/>
  <c r="AU17" i="94"/>
  <c r="AU15" i="94"/>
  <c r="AU16" i="94"/>
  <c r="AV15" i="94"/>
  <c r="AV16" i="94"/>
  <c r="AW16" i="94"/>
  <c r="AW15" i="94"/>
  <c r="B15" i="94"/>
  <c r="AM14" i="94"/>
  <c r="AD14" i="94"/>
  <c r="B14" i="94"/>
  <c r="S13" i="94"/>
  <c r="B13" i="94"/>
  <c r="B12" i="94"/>
  <c r="B11" i="94"/>
  <c r="AE10" i="94"/>
  <c r="S10" i="94"/>
  <c r="AT9" i="94"/>
  <c r="AF9" i="94"/>
  <c r="AT8" i="94"/>
  <c r="AC8" i="94"/>
  <c r="E8" i="94"/>
  <c r="B8" i="94"/>
  <c r="S7" i="94"/>
  <c r="B7" i="94"/>
  <c r="V5" i="94"/>
  <c r="R5" i="94"/>
  <c r="N5" i="94"/>
  <c r="J5" i="94"/>
  <c r="F5" i="94"/>
  <c r="B5" i="94"/>
  <c r="BI3" i="94"/>
  <c r="BD3" i="94"/>
  <c r="AW2" i="94"/>
  <c r="AX3" i="94"/>
  <c r="AY3" i="94"/>
  <c r="AY2" i="94"/>
  <c r="AX2" i="94"/>
  <c r="AZ2" i="94"/>
  <c r="BA2" i="94"/>
  <c r="AP2" i="94"/>
  <c r="J71" i="93"/>
  <c r="H71" i="93"/>
  <c r="J70" i="93"/>
  <c r="H70" i="93"/>
  <c r="J69" i="93"/>
  <c r="H69" i="93"/>
  <c r="J68" i="93"/>
  <c r="H68" i="93"/>
  <c r="J67" i="93"/>
  <c r="H67" i="93"/>
  <c r="J66" i="93"/>
  <c r="H66" i="93"/>
  <c r="J65" i="93"/>
  <c r="H65" i="93"/>
  <c r="K61" i="93"/>
  <c r="H61" i="93"/>
  <c r="T59" i="93"/>
  <c r="AD44" i="93"/>
  <c r="AT43" i="93"/>
  <c r="AJ43" i="93"/>
  <c r="AI43" i="93"/>
  <c r="AE41" i="93"/>
  <c r="U41" i="93"/>
  <c r="AF40" i="93"/>
  <c r="AE40" i="93"/>
  <c r="AF39" i="93"/>
  <c r="AE39" i="93"/>
  <c r="AF38" i="93"/>
  <c r="AE38" i="93"/>
  <c r="L38" i="93" a="1"/>
  <c r="L38" i="93"/>
  <c r="M38" i="93"/>
  <c r="L42" i="93"/>
  <c r="L41" i="93"/>
  <c r="L40" i="93"/>
  <c r="L39" i="93"/>
  <c r="AT37" i="93"/>
  <c r="AF37" i="93"/>
  <c r="W37" i="93" a="1"/>
  <c r="W37" i="93"/>
  <c r="AF36" i="93"/>
  <c r="L33" i="93"/>
  <c r="B33" i="93"/>
  <c r="B32" i="93"/>
  <c r="AU31" i="93"/>
  <c r="AO31" i="93"/>
  <c r="AF30" i="93"/>
  <c r="P30" i="93"/>
  <c r="AT13" i="93"/>
  <c r="AT15" i="93"/>
  <c r="AT17" i="93"/>
  <c r="AW24" i="93"/>
  <c r="L30" i="93"/>
  <c r="B30" i="93"/>
  <c r="D29" i="93"/>
  <c r="B28" i="93"/>
  <c r="B27" i="93"/>
  <c r="B26" i="93"/>
  <c r="AF25" i="93"/>
  <c r="B25" i="93"/>
  <c r="AU24" i="93"/>
  <c r="AS24" i="93"/>
  <c r="AC24" i="93"/>
  <c r="S24" i="93"/>
  <c r="B24" i="93"/>
  <c r="H23" i="93"/>
  <c r="AZ21" i="93"/>
  <c r="AY21" i="93"/>
  <c r="AR19" i="93"/>
  <c r="AL19" i="93"/>
  <c r="S18" i="93"/>
  <c r="AU17" i="93"/>
  <c r="AU15" i="93"/>
  <c r="AU16" i="93"/>
  <c r="AV15" i="93"/>
  <c r="AV16" i="93"/>
  <c r="AW16" i="93"/>
  <c r="AW15" i="93"/>
  <c r="B15" i="93"/>
  <c r="AM14" i="93"/>
  <c r="AD14" i="93"/>
  <c r="B14" i="93"/>
  <c r="S13" i="93"/>
  <c r="B13" i="93"/>
  <c r="B12" i="93"/>
  <c r="B11" i="93"/>
  <c r="AE10" i="93"/>
  <c r="S10" i="93"/>
  <c r="AT9" i="93"/>
  <c r="AF9" i="93"/>
  <c r="AT8" i="93"/>
  <c r="AC8" i="93"/>
  <c r="E8" i="93"/>
  <c r="B8" i="93"/>
  <c r="S7" i="93"/>
  <c r="B7" i="93"/>
  <c r="V5" i="93"/>
  <c r="R5" i="93"/>
  <c r="N5" i="93"/>
  <c r="J5" i="93"/>
  <c r="F5" i="93"/>
  <c r="B5" i="93"/>
  <c r="BI3" i="93"/>
  <c r="BD3" i="93"/>
  <c r="AW2" i="93"/>
  <c r="AX3" i="93"/>
  <c r="AY3" i="93"/>
  <c r="AY2" i="93"/>
  <c r="AX2" i="93"/>
  <c r="AZ2" i="93"/>
  <c r="BA2" i="93"/>
  <c r="AP2" i="93"/>
  <c r="H71" i="92"/>
  <c r="H70" i="92"/>
  <c r="H69" i="92"/>
  <c r="H68" i="92"/>
  <c r="H67" i="92"/>
  <c r="H66" i="92"/>
  <c r="H65" i="92"/>
  <c r="K61" i="92"/>
  <c r="H61" i="92"/>
  <c r="T59" i="92"/>
  <c r="AD44" i="92"/>
  <c r="AT43" i="92"/>
  <c r="AJ43" i="92"/>
  <c r="AI43" i="92"/>
  <c r="AE41" i="92"/>
  <c r="U41" i="92"/>
  <c r="AF40" i="92"/>
  <c r="AE40" i="92"/>
  <c r="AF39" i="92"/>
  <c r="AE39" i="92"/>
  <c r="AF38" i="92"/>
  <c r="AE38" i="92"/>
  <c r="L38" i="92" a="1"/>
  <c r="L38" i="92"/>
  <c r="M38" i="92"/>
  <c r="L42" i="92"/>
  <c r="L41" i="92"/>
  <c r="L40" i="92"/>
  <c r="L39" i="92"/>
  <c r="AT37" i="92"/>
  <c r="AF37" i="92"/>
  <c r="W37" i="92" a="1"/>
  <c r="W37" i="92"/>
  <c r="AF36" i="92"/>
  <c r="L33" i="92"/>
  <c r="B33" i="92"/>
  <c r="B32" i="92"/>
  <c r="AU31" i="92"/>
  <c r="AO31" i="92"/>
  <c r="AF30" i="92"/>
  <c r="P30" i="92"/>
  <c r="AT13" i="92"/>
  <c r="AT15" i="92"/>
  <c r="AT17" i="92"/>
  <c r="AW24" i="92"/>
  <c r="L30" i="92"/>
  <c r="B30" i="92"/>
  <c r="D29" i="92"/>
  <c r="B28" i="92"/>
  <c r="B27" i="92"/>
  <c r="B26" i="92"/>
  <c r="AF25" i="92"/>
  <c r="B25" i="92"/>
  <c r="AU24" i="92"/>
  <c r="AS24" i="92"/>
  <c r="AC24" i="92"/>
  <c r="S24" i="92"/>
  <c r="B24" i="92"/>
  <c r="H23" i="92"/>
  <c r="AZ21" i="92"/>
  <c r="AY21" i="92"/>
  <c r="AR19" i="92"/>
  <c r="AL19" i="92"/>
  <c r="S18" i="92"/>
  <c r="AU17" i="92"/>
  <c r="AU15" i="92"/>
  <c r="AU16" i="92"/>
  <c r="AV15" i="92"/>
  <c r="AV16" i="92"/>
  <c r="AW16" i="92"/>
  <c r="AW15" i="92"/>
  <c r="B15" i="92"/>
  <c r="AM14" i="92"/>
  <c r="AD14" i="92"/>
  <c r="B14" i="92"/>
  <c r="S13" i="92"/>
  <c r="B13" i="92"/>
  <c r="B12" i="92"/>
  <c r="B11" i="92"/>
  <c r="AE10" i="92"/>
  <c r="S10" i="92"/>
  <c r="AF9" i="92"/>
  <c r="AC8" i="92"/>
  <c r="E8" i="92"/>
  <c r="B8" i="92"/>
  <c r="S7" i="92"/>
  <c r="B7" i="92"/>
  <c r="V5" i="92"/>
  <c r="R5" i="92"/>
  <c r="N5" i="92"/>
  <c r="J5" i="92"/>
  <c r="F5" i="92"/>
  <c r="B5" i="92"/>
  <c r="BI3" i="92"/>
  <c r="BD3" i="92"/>
  <c r="AP2" i="92"/>
  <c r="J71" i="91"/>
  <c r="H71" i="91"/>
  <c r="J70" i="91"/>
  <c r="H70" i="91"/>
  <c r="J69" i="91"/>
  <c r="H69" i="91"/>
  <c r="J68" i="91"/>
  <c r="H68" i="91"/>
  <c r="J67" i="91"/>
  <c r="H67" i="91"/>
  <c r="J66" i="91"/>
  <c r="H66" i="91"/>
  <c r="J65" i="91"/>
  <c r="H65" i="91"/>
  <c r="K61" i="91"/>
  <c r="H61" i="91"/>
  <c r="T59" i="91"/>
  <c r="AD44" i="91"/>
  <c r="AT43" i="91"/>
  <c r="AJ43" i="91"/>
  <c r="AI43" i="91"/>
  <c r="AE41" i="91"/>
  <c r="U41" i="91"/>
  <c r="AF40" i="91"/>
  <c r="AE40" i="91"/>
  <c r="AF39" i="91"/>
  <c r="AE39" i="91"/>
  <c r="AF38" i="91"/>
  <c r="AE38" i="91"/>
  <c r="L38" i="91" a="1"/>
  <c r="L38" i="91"/>
  <c r="M38" i="91"/>
  <c r="L42" i="91"/>
  <c r="L41" i="91"/>
  <c r="L40" i="91"/>
  <c r="L39" i="91"/>
  <c r="AT37" i="91"/>
  <c r="AF37" i="91"/>
  <c r="W37" i="91" a="1"/>
  <c r="W37" i="91"/>
  <c r="AF36" i="91"/>
  <c r="L33" i="91"/>
  <c r="B33" i="91"/>
  <c r="B32" i="91"/>
  <c r="AU31" i="91"/>
  <c r="AO31" i="91"/>
  <c r="AF30" i="91"/>
  <c r="P30" i="91"/>
  <c r="AT13" i="91"/>
  <c r="AT15" i="91"/>
  <c r="AT17" i="91"/>
  <c r="AW24" i="91"/>
  <c r="L30" i="91"/>
  <c r="B30" i="91"/>
  <c r="D29" i="91"/>
  <c r="B28" i="91"/>
  <c r="B27" i="91"/>
  <c r="B26" i="91"/>
  <c r="AF25" i="91"/>
  <c r="B25" i="91"/>
  <c r="AU24" i="91"/>
  <c r="AS24" i="91"/>
  <c r="AC24" i="91"/>
  <c r="S24" i="91"/>
  <c r="B24" i="91"/>
  <c r="H23" i="91"/>
  <c r="AZ21" i="91"/>
  <c r="AY21" i="91"/>
  <c r="AR19" i="91"/>
  <c r="AL19" i="91"/>
  <c r="S18" i="91"/>
  <c r="AU17" i="91"/>
  <c r="AU15" i="91"/>
  <c r="AU16" i="91"/>
  <c r="AV15" i="91"/>
  <c r="AV16" i="91"/>
  <c r="AW16" i="91"/>
  <c r="AW15" i="91"/>
  <c r="B15" i="91"/>
  <c r="AM14" i="91"/>
  <c r="AD14" i="91"/>
  <c r="B14" i="91"/>
  <c r="S13" i="91"/>
  <c r="B13" i="91"/>
  <c r="B12" i="91"/>
  <c r="B11" i="91"/>
  <c r="AE10" i="91"/>
  <c r="S10" i="91"/>
  <c r="AT9" i="91"/>
  <c r="AF9" i="91"/>
  <c r="AT8" i="91"/>
  <c r="AC8" i="91"/>
  <c r="E8" i="91"/>
  <c r="B8" i="91"/>
  <c r="S7" i="91"/>
  <c r="B7" i="91"/>
  <c r="V5" i="91"/>
  <c r="R5" i="91"/>
  <c r="N5" i="91"/>
  <c r="J5" i="91"/>
  <c r="F5" i="91"/>
  <c r="B5" i="91"/>
  <c r="BI3" i="91"/>
  <c r="BD3" i="91"/>
  <c r="AW2" i="91"/>
  <c r="AX3" i="91"/>
  <c r="AY3" i="91"/>
  <c r="AY2" i="91"/>
  <c r="AX2" i="91"/>
  <c r="AZ2" i="91"/>
  <c r="BA2" i="91"/>
  <c r="AP2" i="91"/>
  <c r="AJ43" i="32"/>
  <c r="AI43" i="32"/>
  <c r="AU7" i="32"/>
  <c r="DN3" i="50"/>
  <c r="DN4" i="50"/>
  <c r="M57" i="73" a="1"/>
  <c r="M57" i="73"/>
  <c r="M58" i="73"/>
  <c r="M59" i="73"/>
  <c r="M60" i="73"/>
  <c r="M61" i="73"/>
  <c r="M62" i="73"/>
  <c r="M63" i="73"/>
  <c r="M64" i="73"/>
  <c r="M65" i="73"/>
  <c r="M66" i="73"/>
  <c r="M67" i="73"/>
  <c r="M68" i="73"/>
  <c r="M69" i="73"/>
  <c r="M70" i="73"/>
  <c r="M71" i="73"/>
  <c r="M72" i="73"/>
  <c r="M73" i="73"/>
  <c r="M74" i="73"/>
  <c r="M75" i="73"/>
  <c r="M76" i="73"/>
  <c r="M77" i="73"/>
  <c r="M78" i="73"/>
  <c r="M79" i="73"/>
  <c r="M80" i="73"/>
  <c r="M81" i="73"/>
  <c r="M82" i="73"/>
  <c r="M83" i="73"/>
  <c r="M84" i="73"/>
  <c r="M85" i="73"/>
  <c r="M86" i="73"/>
  <c r="M87" i="73"/>
  <c r="M88" i="73"/>
  <c r="M89" i="73"/>
  <c r="M90" i="73"/>
  <c r="M91" i="73"/>
  <c r="M92" i="73"/>
  <c r="M93" i="73"/>
  <c r="M94" i="73"/>
  <c r="M95" i="73"/>
  <c r="M96" i="73"/>
  <c r="M97" i="73"/>
  <c r="M98" i="73"/>
  <c r="M99" i="73"/>
  <c r="M100" i="73"/>
  <c r="I57" i="73" a="1"/>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85" i="73"/>
  <c r="I86" i="73"/>
  <c r="I87" i="73"/>
  <c r="I88" i="73"/>
  <c r="I89" i="73"/>
  <c r="I90" i="73"/>
  <c r="I91" i="73"/>
  <c r="I92" i="73"/>
  <c r="I93" i="73"/>
  <c r="I94" i="73"/>
  <c r="I95" i="73"/>
  <c r="I96" i="73"/>
  <c r="I97" i="73"/>
  <c r="I98" i="73"/>
  <c r="I99" i="73"/>
  <c r="I100" i="73"/>
  <c r="E57" i="73" a="1"/>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U117" i="73"/>
  <c r="U116" i="73"/>
  <c r="U115" i="73"/>
  <c r="U114" i="73"/>
  <c r="U113" i="73"/>
  <c r="U112" i="73"/>
  <c r="U111" i="73"/>
  <c r="U110" i="73"/>
  <c r="U109" i="73"/>
  <c r="U108" i="73"/>
  <c r="U107" i="73"/>
  <c r="U106" i="73"/>
  <c r="U105" i="73"/>
  <c r="U104" i="73"/>
  <c r="U103" i="73"/>
  <c r="U102" i="73"/>
  <c r="U101" i="73"/>
  <c r="U100" i="73"/>
  <c r="U99" i="73"/>
  <c r="U98" i="73"/>
  <c r="U97" i="73"/>
  <c r="U96" i="73"/>
  <c r="U95" i="73"/>
  <c r="U94" i="73"/>
  <c r="U93" i="73"/>
  <c r="U92" i="73"/>
  <c r="U91" i="73"/>
  <c r="U90" i="73"/>
  <c r="U89" i="73"/>
  <c r="U88" i="73"/>
  <c r="U87" i="73"/>
  <c r="U86" i="73"/>
  <c r="U85" i="73"/>
  <c r="U84" i="73"/>
  <c r="U83" i="73"/>
  <c r="U82" i="73"/>
  <c r="U81" i="73"/>
  <c r="U80" i="73"/>
  <c r="U79" i="73"/>
  <c r="U78" i="73"/>
  <c r="U77" i="73"/>
  <c r="U76" i="73"/>
  <c r="U75" i="73"/>
  <c r="U74" i="73"/>
  <c r="U73" i="73"/>
  <c r="U72" i="73"/>
  <c r="U71" i="73"/>
  <c r="U70" i="73"/>
  <c r="U69" i="73"/>
  <c r="U68" i="73"/>
  <c r="U67" i="73"/>
  <c r="U66" i="73"/>
  <c r="U65" i="73"/>
  <c r="U64" i="73"/>
  <c r="U63" i="73"/>
  <c r="U62" i="73"/>
  <c r="U61" i="73"/>
  <c r="U60" i="73"/>
  <c r="U59" i="73"/>
  <c r="U58" i="73"/>
  <c r="U57" i="73"/>
  <c r="AC191" i="99"/>
  <c r="AC155" i="99"/>
  <c r="AC119" i="99"/>
  <c r="AC83" i="99"/>
  <c r="AC47" i="99"/>
  <c r="DK10" i="51"/>
  <c r="DE10" i="51"/>
  <c r="DC10" i="51"/>
  <c r="DK9" i="51"/>
  <c r="B662" i="53"/>
  <c r="DI9" i="51"/>
  <c r="DE9" i="51"/>
  <c r="DC9" i="51"/>
  <c r="CY9" i="51"/>
  <c r="CU9" i="51"/>
  <c r="B663" i="53"/>
  <c r="CS9" i="51"/>
  <c r="CQ9" i="51"/>
  <c r="CO9" i="51"/>
  <c r="CM9" i="51"/>
  <c r="CK9" i="51"/>
  <c r="DK8" i="51"/>
  <c r="DE8" i="51"/>
  <c r="DC8" i="51"/>
  <c r="CS8" i="51"/>
  <c r="CQ8" i="51"/>
  <c r="DK7" i="51"/>
  <c r="DE7" i="51"/>
  <c r="DC7" i="51"/>
  <c r="BY3" i="50"/>
  <c r="BY4" i="50"/>
  <c r="BY5" i="50"/>
  <c r="BY6" i="50"/>
  <c r="AU25" i="32"/>
  <c r="AV7" i="32"/>
  <c r="AA29" i="32"/>
  <c r="AD42" i="32"/>
  <c r="T48" i="32"/>
  <c r="BU2" i="50"/>
  <c r="BU3" i="50"/>
  <c r="AW2" i="32"/>
  <c r="AX3" i="32"/>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B247" i="53"/>
  <c r="B91" i="53"/>
  <c r="V23" i="96"/>
  <c r="C91" i="53"/>
  <c r="B92" i="53"/>
  <c r="V24" i="96"/>
  <c r="C92" i="53"/>
  <c r="B93" i="53"/>
  <c r="V25" i="96"/>
  <c r="C93" i="53"/>
  <c r="C94" i="53"/>
  <c r="B95" i="53"/>
  <c r="C95" i="53"/>
  <c r="B96" i="53"/>
  <c r="C96" i="53"/>
  <c r="C97" i="53"/>
  <c r="B170" i="53"/>
  <c r="B179" i="53"/>
  <c r="B180" i="53"/>
  <c r="B182" i="53"/>
  <c r="B183" i="53"/>
  <c r="B184" i="53"/>
  <c r="B187" i="53"/>
  <c r="B188"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9" i="53"/>
  <c r="B220" i="53"/>
  <c r="B221" i="53"/>
  <c r="B222" i="53"/>
  <c r="B223" i="53"/>
  <c r="B224" i="53"/>
  <c r="B226" i="53"/>
  <c r="B233" i="53"/>
  <c r="B234" i="53"/>
  <c r="B235" i="53"/>
  <c r="B236" i="53"/>
  <c r="B237" i="53"/>
  <c r="B238" i="53"/>
  <c r="B239" i="53"/>
  <c r="B240" i="53"/>
  <c r="B243" i="53"/>
  <c r="B244" i="53"/>
  <c r="B245" i="53"/>
  <c r="K4" i="97"/>
  <c r="B246" i="53"/>
  <c r="B248" i="53"/>
  <c r="B249" i="53"/>
  <c r="B5" i="71"/>
  <c r="B250" i="53"/>
  <c r="B251" i="53"/>
  <c r="B252" i="53"/>
  <c r="B253" i="53"/>
  <c r="B254" i="53"/>
  <c r="B255" i="53"/>
  <c r="B256" i="53"/>
  <c r="B257" i="53"/>
  <c r="B259" i="53"/>
  <c r="B260" i="53"/>
  <c r="B261" i="53"/>
  <c r="B262" i="53"/>
  <c r="B263" i="53"/>
  <c r="B264" i="53"/>
  <c r="B265" i="53"/>
  <c r="B266" i="53"/>
  <c r="B267" i="53"/>
  <c r="B268" i="53"/>
  <c r="B269" i="53"/>
  <c r="B270" i="53"/>
  <c r="B271" i="53"/>
  <c r="B272" i="53"/>
  <c r="B273" i="53"/>
  <c r="B274" i="53"/>
  <c r="B275" i="53"/>
  <c r="S7" i="73"/>
  <c r="B276" i="53"/>
  <c r="B277" i="53"/>
  <c r="B278" i="53"/>
  <c r="B279" i="53"/>
  <c r="B280" i="53"/>
  <c r="B281" i="53"/>
  <c r="B282" i="53"/>
  <c r="B283" i="53"/>
  <c r="B284" i="53"/>
  <c r="B285" i="53"/>
  <c r="B286" i="53"/>
  <c r="B287" i="53"/>
  <c r="B288" i="53"/>
  <c r="B289" i="53"/>
  <c r="B290" i="53"/>
  <c r="B291" i="53"/>
  <c r="B292" i="53"/>
  <c r="B293" i="53"/>
  <c r="B294" i="53"/>
  <c r="V53" i="21"/>
  <c r="B295" i="53"/>
  <c r="B296" i="53"/>
  <c r="B297" i="53"/>
  <c r="B298" i="53"/>
  <c r="B299" i="53"/>
  <c r="B300" i="53"/>
  <c r="B301" i="53"/>
  <c r="B302" i="53"/>
  <c r="B303" i="53"/>
  <c r="B304" i="53"/>
  <c r="B305" i="53"/>
  <c r="B306" i="53"/>
  <c r="E10" i="80"/>
  <c r="B307" i="53"/>
  <c r="B308" i="53"/>
  <c r="B309" i="53"/>
  <c r="Q14" i="97"/>
  <c r="B310" i="53"/>
  <c r="B311" i="53"/>
  <c r="B21" i="100"/>
  <c r="B312" i="53"/>
  <c r="B313" i="53"/>
  <c r="B314" i="53"/>
  <c r="B315" i="53"/>
  <c r="B316" i="53"/>
  <c r="B317" i="53"/>
  <c r="B318" i="53"/>
  <c r="S26" i="73"/>
  <c r="B319" i="53"/>
  <c r="B320" i="53"/>
  <c r="B321" i="53"/>
  <c r="S28" i="73"/>
  <c r="B322" i="53"/>
  <c r="B323" i="53"/>
  <c r="S32" i="73"/>
  <c r="B324" i="53"/>
  <c r="B325" i="53"/>
  <c r="B326" i="53"/>
  <c r="B327" i="53"/>
  <c r="B328" i="53"/>
  <c r="B329" i="53"/>
  <c r="B330" i="53"/>
  <c r="AM52" i="73"/>
  <c r="B331" i="53"/>
  <c r="B332" i="53"/>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1" i="53"/>
  <c r="B546" i="53"/>
  <c r="B547" i="53"/>
  <c r="BY13" i="50"/>
  <c r="B561" i="53"/>
  <c r="B566" i="53"/>
  <c r="B568" i="53"/>
  <c r="B569" i="53"/>
  <c r="B570" i="53"/>
  <c r="B571" i="53"/>
  <c r="H23" i="32"/>
  <c r="B574" i="53"/>
  <c r="B575" i="53"/>
  <c r="B576" i="53"/>
  <c r="B577" i="53"/>
  <c r="B578" i="53"/>
  <c r="B579" i="53"/>
  <c r="B580" i="53"/>
  <c r="B581" i="53"/>
  <c r="B587" i="53"/>
  <c r="B593" i="53"/>
  <c r="B594" i="53"/>
  <c r="B595" i="53"/>
  <c r="B596" i="53"/>
  <c r="B597" i="53"/>
  <c r="B599" i="53"/>
  <c r="B600" i="53"/>
  <c r="B601" i="53"/>
  <c r="B602" i="53"/>
  <c r="B603" i="53"/>
  <c r="B604" i="53"/>
  <c r="B606" i="53"/>
  <c r="B607" i="53"/>
  <c r="B608" i="53"/>
  <c r="B609" i="53"/>
  <c r="B610" i="53"/>
  <c r="B611" i="53"/>
  <c r="B612" i="53"/>
  <c r="B614" i="53"/>
  <c r="B615" i="53"/>
  <c r="B616" i="53"/>
  <c r="B617" i="53"/>
  <c r="B618" i="53"/>
  <c r="B619" i="53"/>
  <c r="B620" i="53"/>
  <c r="B621" i="53"/>
  <c r="B622" i="53"/>
  <c r="B623" i="53"/>
  <c r="B624" i="53"/>
  <c r="B626" i="53"/>
  <c r="B627" i="53"/>
  <c r="B635" i="53"/>
  <c r="B642" i="53"/>
  <c r="B643" i="53"/>
  <c r="B654" i="53"/>
  <c r="B656" i="53"/>
  <c r="B657" i="53"/>
  <c r="B658" i="53"/>
  <c r="B661" i="53"/>
  <c r="B665" i="53"/>
  <c r="B666" i="53"/>
  <c r="B668" i="53"/>
  <c r="B669" i="53"/>
  <c r="B670" i="53"/>
  <c r="B66" i="44"/>
  <c r="B671" i="53"/>
  <c r="B14" i="100"/>
  <c r="B680" i="53"/>
  <c r="B5" i="100"/>
  <c r="B681" i="53"/>
  <c r="B682" i="53"/>
  <c r="B683" i="53"/>
  <c r="B684" i="53"/>
  <c r="B685" i="53"/>
  <c r="B686" i="53"/>
  <c r="B687" i="53"/>
  <c r="B22" i="100"/>
  <c r="B688" i="53"/>
  <c r="B689" i="53"/>
  <c r="B690" i="53"/>
  <c r="B27" i="100"/>
  <c r="B691" i="53"/>
  <c r="B692" i="53"/>
  <c r="B693" i="53"/>
  <c r="B694" i="53"/>
  <c r="B723" i="53"/>
  <c r="AT8" i="32"/>
  <c r="AY2" i="32"/>
  <c r="AX2" i="32"/>
  <c r="AZ2" i="32"/>
  <c r="BA2" i="32"/>
  <c r="AT9" i="32"/>
  <c r="AY3" i="32"/>
  <c r="AT11" i="32"/>
  <c r="AU15" i="32"/>
  <c r="AV15" i="32"/>
  <c r="AW15" i="32"/>
  <c r="AU16" i="32"/>
  <c r="AV16" i="32"/>
  <c r="AW16" i="32"/>
  <c r="AT15" i="32"/>
  <c r="BY14" i="50"/>
  <c r="AW24" i="32"/>
  <c r="M33" i="106"/>
  <c r="N33" i="106"/>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T19" i="109"/>
  <c r="M2" i="107"/>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5"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c r="S37" i="73"/>
  <c r="C35" i="96"/>
  <c r="P21" i="105"/>
  <c r="K18" i="73"/>
  <c r="R17" i="96"/>
  <c r="P2" i="105"/>
  <c r="AC42" i="73"/>
  <c r="AC44" i="73"/>
  <c r="AE9" i="96"/>
  <c r="H9" i="71"/>
  <c r="W153" i="99"/>
  <c r="W189" i="99"/>
  <c r="AB7" i="71"/>
  <c r="B10" i="71"/>
  <c r="D5" i="99"/>
  <c r="Q7" i="99"/>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W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W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W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W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W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W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CC32" i="50"/>
  <c r="CD32" i="50"/>
  <c r="CC33" i="50"/>
  <c r="CD33" i="50"/>
  <c r="CC34" i="50"/>
  <c r="CD34" i="50"/>
  <c r="CC35" i="50"/>
  <c r="CD35" i="50"/>
  <c r="BD3" i="32"/>
  <c r="BI3" i="32"/>
  <c r="AJ36" i="32" a="1"/>
  <c r="AJ36" i="32"/>
  <c r="BY193" i="99"/>
  <c r="BY157" i="99"/>
  <c r="BY13" i="99"/>
  <c r="BY49" i="99"/>
  <c r="R35" i="96"/>
  <c r="B26" i="100"/>
  <c r="AM5" i="71"/>
  <c r="AP34" i="73"/>
  <c r="R32" i="96"/>
  <c r="AP32" i="73"/>
  <c r="AP26" i="73"/>
  <c r="AP24" i="73"/>
  <c r="AP30" i="73"/>
  <c r="AP28" i="73"/>
  <c r="AM39" i="73"/>
  <c r="AM37" i="73"/>
  <c r="O48" i="73"/>
  <c r="K48" i="73"/>
  <c r="AM34" i="73"/>
  <c r="AM32" i="73"/>
  <c r="AM30" i="73"/>
  <c r="AM28" i="73"/>
  <c r="AM26" i="73"/>
  <c r="AM24" i="73"/>
  <c r="G48" i="73"/>
  <c r="P30" i="32"/>
  <c r="B111" i="51"/>
  <c r="B109" i="51"/>
  <c r="B107" i="51"/>
  <c r="AC37" i="73"/>
  <c r="J21" i="97"/>
  <c r="B28" i="97"/>
  <c r="B23" i="100"/>
  <c r="V13" i="96"/>
  <c r="C29" i="96"/>
  <c r="V8" i="21"/>
  <c r="B103" i="51"/>
  <c r="B99" i="51"/>
  <c r="B105" i="51"/>
  <c r="BC37" i="44"/>
  <c r="S24" i="73"/>
  <c r="BC38" i="44"/>
  <c r="B102" i="51"/>
  <c r="B11" i="100"/>
  <c r="AC39" i="73"/>
  <c r="B24" i="100"/>
  <c r="B25" i="100"/>
  <c r="AM51" i="73"/>
  <c r="B19" i="100"/>
  <c r="B14" i="97"/>
  <c r="AM50" i="73"/>
  <c r="D96" i="51"/>
  <c r="B100" i="51"/>
  <c r="AC22" i="73"/>
  <c r="B7" i="71"/>
  <c r="K2" i="21"/>
  <c r="S30" i="73"/>
  <c r="S34" i="73"/>
  <c r="B13" i="100"/>
  <c r="C14" i="96"/>
  <c r="B10" i="100"/>
  <c r="B18" i="100"/>
  <c r="AG22" i="73"/>
  <c r="B106" i="51"/>
  <c r="V12" i="96"/>
  <c r="B9" i="100"/>
  <c r="P2" i="73"/>
  <c r="AA37" i="73"/>
  <c r="W35" i="80"/>
  <c r="U34" i="80"/>
  <c r="W34" i="80"/>
  <c r="B7" i="100"/>
  <c r="S13" i="32"/>
  <c r="B37" i="21"/>
  <c r="AJ37" i="32"/>
  <c r="AJ38" i="32"/>
  <c r="AJ40" i="32"/>
  <c r="AJ39" i="32"/>
  <c r="AC200" i="99"/>
  <c r="AC164" i="99"/>
  <c r="AC128" i="99"/>
  <c r="AC20" i="99"/>
  <c r="AC56" i="99"/>
  <c r="AC92" i="99"/>
  <c r="AP3" i="51"/>
  <c r="AP2" i="51"/>
  <c r="DJ6" i="51"/>
  <c r="DJ8" i="51"/>
  <c r="DJ10" i="51"/>
  <c r="DI10" i="51"/>
  <c r="DI6" i="51"/>
  <c r="DH10" i="51"/>
  <c r="DH8" i="51"/>
  <c r="DH6" i="51"/>
  <c r="D148" i="71"/>
  <c r="D94" i="71"/>
  <c r="D121" i="71"/>
  <c r="D67" i="71"/>
  <c r="D40" i="71"/>
  <c r="W37" i="32" a="1"/>
  <c r="W37" i="32"/>
  <c r="D29" i="32"/>
  <c r="C15" i="73"/>
  <c r="B9" i="71"/>
  <c r="AL22" i="73"/>
  <c r="C32" i="96"/>
  <c r="B17" i="100"/>
  <c r="C102" i="51"/>
  <c r="C101" i="51"/>
  <c r="C11" i="73"/>
  <c r="B6" i="71"/>
  <c r="E17" i="80"/>
  <c r="M7" i="99"/>
  <c r="C13" i="73"/>
  <c r="B101" i="51"/>
  <c r="R34" i="80"/>
  <c r="R31" i="100"/>
  <c r="B48" i="73"/>
  <c r="BW3" i="51"/>
  <c r="BW2" i="51"/>
  <c r="AJ2" i="73"/>
  <c r="BW4" i="51"/>
  <c r="BW5" i="51"/>
  <c r="A38" i="97"/>
  <c r="A90" i="51"/>
  <c r="B67" i="44"/>
  <c r="CJ7" i="51"/>
  <c r="CJ6" i="51"/>
  <c r="CJ10" i="51"/>
  <c r="CJ9" i="51"/>
  <c r="CJ8" i="51"/>
  <c r="DD9" i="51"/>
  <c r="DF10" i="51"/>
  <c r="DD10" i="51"/>
  <c r="DL10" i="51"/>
  <c r="DL9" i="51"/>
  <c r="DF9" i="51"/>
  <c r="B68" i="44"/>
  <c r="B17" i="32"/>
  <c r="CZ10" i="51"/>
  <c r="CL10" i="51"/>
  <c r="CO6" i="51"/>
  <c r="CJ5" i="51"/>
  <c r="CZ8" i="51"/>
  <c r="CU6" i="51"/>
  <c r="CO10" i="51"/>
  <c r="CY10" i="51"/>
  <c r="CK10" i="51"/>
  <c r="CN6" i="51"/>
  <c r="CI5" i="51"/>
  <c r="CM6" i="51"/>
  <c r="CN8" i="51"/>
  <c r="CV10" i="51"/>
  <c r="CP8" i="51"/>
  <c r="CM10" i="51"/>
  <c r="CU10" i="51"/>
  <c r="CV8" i="51"/>
  <c r="CZ6" i="51"/>
  <c r="CL6" i="51"/>
  <c r="CK6" i="51"/>
  <c r="CV6" i="51"/>
  <c r="CP10" i="51"/>
  <c r="CL8" i="51"/>
  <c r="CP6" i="51"/>
  <c r="CY6" i="51"/>
  <c r="CN10" i="51"/>
  <c r="DF8" i="51"/>
  <c r="DE6" i="51"/>
  <c r="DC6" i="51"/>
  <c r="CR9" i="51"/>
  <c r="CR7" i="51"/>
  <c r="DK6" i="51"/>
  <c r="DL7" i="51"/>
  <c r="DD8" i="51"/>
  <c r="DF7" i="51"/>
  <c r="DD6" i="51"/>
  <c r="CT7" i="51"/>
  <c r="CR5" i="51"/>
  <c r="DF6" i="51"/>
  <c r="DE5" i="51"/>
  <c r="DC5" i="51"/>
  <c r="CS5" i="51"/>
  <c r="DD7" i="51"/>
  <c r="DL6" i="51"/>
  <c r="CT9" i="51"/>
  <c r="CT5" i="51"/>
  <c r="CQ5" i="51"/>
  <c r="DK5" i="51"/>
  <c r="CS7" i="51"/>
  <c r="CQ7" i="51"/>
  <c r="DL8" i="51"/>
  <c r="CT8" i="51"/>
  <c r="CR8" i="51"/>
  <c r="CS6" i="51"/>
  <c r="CQ6" i="51"/>
  <c r="CR10" i="51"/>
  <c r="CQ10" i="51"/>
  <c r="CT10" i="51"/>
  <c r="CR6" i="51"/>
  <c r="CS10" i="51"/>
  <c r="CT6" i="51"/>
  <c r="D45" i="52"/>
  <c r="CD13" i="50"/>
  <c r="CD11" i="50"/>
  <c r="AB30" i="50"/>
  <c r="AB32" i="50"/>
  <c r="D20" i="52"/>
  <c r="C117" i="51"/>
  <c r="C106" i="51"/>
  <c r="F98" i="51"/>
  <c r="E98" i="51"/>
  <c r="B98" i="51"/>
  <c r="E103" i="51"/>
  <c r="F103" i="51"/>
  <c r="C116" i="51"/>
  <c r="C107" i="51"/>
  <c r="C119" i="51"/>
  <c r="F107" i="51"/>
  <c r="E107" i="51"/>
  <c r="C103" i="51"/>
  <c r="C97" i="51"/>
  <c r="C113" i="51"/>
  <c r="C98" i="51"/>
  <c r="C118" i="51"/>
  <c r="C114" i="51"/>
  <c r="E100" i="51"/>
  <c r="F100" i="51"/>
  <c r="C120" i="51"/>
  <c r="F111" i="51"/>
  <c r="E111" i="51"/>
  <c r="F96" i="51"/>
  <c r="E96" i="51"/>
  <c r="B96" i="51"/>
  <c r="C108" i="51"/>
  <c r="E97" i="51"/>
  <c r="B97" i="51"/>
  <c r="F97" i="51"/>
  <c r="C110" i="51"/>
  <c r="F105" i="51"/>
  <c r="E105" i="51"/>
  <c r="F99" i="51"/>
  <c r="E99" i="51"/>
  <c r="C99" i="51"/>
  <c r="F106" i="51"/>
  <c r="E106" i="51"/>
  <c r="F102" i="51"/>
  <c r="E102" i="51"/>
  <c r="E108" i="51"/>
  <c r="F108" i="51"/>
  <c r="C104" i="51"/>
  <c r="F109" i="51"/>
  <c r="E109" i="51"/>
  <c r="C112" i="51"/>
  <c r="C109" i="51"/>
  <c r="F101" i="51"/>
  <c r="E101" i="51"/>
  <c r="A81" i="51"/>
  <c r="A87" i="51"/>
  <c r="B76" i="51"/>
  <c r="A76" i="51"/>
  <c r="C75" i="51"/>
  <c r="B77" i="51"/>
  <c r="A75" i="51"/>
  <c r="B75" i="51"/>
  <c r="B39" i="73"/>
  <c r="K61" i="32"/>
  <c r="B32" i="73"/>
  <c r="AL19" i="32"/>
  <c r="Q67" i="50"/>
  <c r="B27" i="32"/>
  <c r="B33" i="32"/>
  <c r="C27" i="96"/>
  <c r="E8" i="32"/>
  <c r="B13" i="32"/>
  <c r="I24" i="73"/>
  <c r="B21" i="32"/>
  <c r="AF30" i="32"/>
  <c r="AB5" i="71"/>
  <c r="AF9" i="32"/>
  <c r="B12" i="32"/>
  <c r="D6" i="52"/>
  <c r="X3" i="50"/>
  <c r="B8" i="32"/>
  <c r="B62" i="44"/>
  <c r="E24" i="73"/>
  <c r="F5" i="32"/>
  <c r="E21" i="80"/>
  <c r="V6" i="96"/>
  <c r="B32" i="32"/>
  <c r="B15" i="100"/>
  <c r="F5" i="80"/>
  <c r="B8" i="100"/>
  <c r="B34" i="80"/>
  <c r="B31" i="100"/>
  <c r="B12" i="100"/>
  <c r="AL2" i="71"/>
  <c r="Q2" i="100"/>
  <c r="C28" i="96"/>
  <c r="I26" i="96"/>
  <c r="C24" i="96"/>
  <c r="CA32" i="50"/>
  <c r="FA4" i="50"/>
  <c r="BZ35" i="50"/>
  <c r="FA2" i="50"/>
  <c r="EY2" i="50"/>
  <c r="FA7" i="50"/>
  <c r="BY34" i="50"/>
  <c r="F15" i="50"/>
  <c r="BY33" i="50"/>
  <c r="AB40" i="50"/>
  <c r="CD16" i="50"/>
  <c r="AB41" i="50"/>
  <c r="B16" i="32"/>
  <c r="CD17" i="50"/>
  <c r="C21" i="96"/>
  <c r="B26" i="32"/>
  <c r="H68" i="32"/>
  <c r="AC2" i="21"/>
  <c r="H71" i="32"/>
  <c r="AD14" i="32"/>
  <c r="X5" i="50"/>
  <c r="AF25" i="32"/>
  <c r="AC8" i="52"/>
  <c r="AM14" i="32"/>
  <c r="B28" i="73"/>
  <c r="AC4" i="52"/>
  <c r="C8" i="96"/>
  <c r="C10" i="96"/>
  <c r="E15" i="80"/>
  <c r="Q2" i="96"/>
  <c r="S22" i="73"/>
  <c r="B24" i="32"/>
  <c r="V7" i="96"/>
  <c r="D40" i="52"/>
  <c r="Q2" i="80"/>
  <c r="AP2" i="32"/>
  <c r="BZ34" i="50"/>
  <c r="Q28" i="97"/>
  <c r="AT2" i="44"/>
  <c r="D7" i="52"/>
  <c r="D15" i="52"/>
  <c r="F14" i="50"/>
  <c r="B5" i="32"/>
  <c r="B14" i="32"/>
  <c r="B30" i="32"/>
  <c r="V16" i="96"/>
  <c r="W16" i="96"/>
  <c r="B92" i="21"/>
  <c r="FA8" i="50"/>
  <c r="J5" i="32"/>
  <c r="EY3" i="50"/>
  <c r="B25" i="32"/>
  <c r="FA5" i="50"/>
  <c r="H69" i="32"/>
  <c r="S24" i="32"/>
  <c r="X4" i="50"/>
  <c r="BY35" i="50"/>
  <c r="AC8" i="32"/>
  <c r="B7" i="32"/>
  <c r="AU23" i="32"/>
  <c r="BY32" i="50"/>
  <c r="C78" i="53"/>
  <c r="CA33" i="50"/>
  <c r="B8" i="21"/>
  <c r="M12" i="50"/>
  <c r="S7" i="32"/>
  <c r="M11" i="50"/>
  <c r="AC24" i="32"/>
  <c r="AC5" i="52"/>
  <c r="N5" i="32"/>
  <c r="B28" i="32"/>
  <c r="AE10" i="32"/>
  <c r="A2" i="32"/>
  <c r="D13" i="71"/>
  <c r="H61" i="32"/>
  <c r="BZ32" i="50"/>
  <c r="BZ33" i="50"/>
  <c r="AC2" i="52"/>
  <c r="AO31" i="32"/>
  <c r="CA35" i="50"/>
  <c r="H66" i="32"/>
  <c r="CA34" i="50"/>
  <c r="EY4" i="50"/>
  <c r="FA9" i="50"/>
  <c r="FA6" i="50"/>
  <c r="C12" i="96"/>
  <c r="E19" i="80"/>
  <c r="AC7" i="52"/>
  <c r="DP3" i="50"/>
  <c r="DP2" i="50"/>
  <c r="AU9" i="32"/>
  <c r="EY5" i="50"/>
  <c r="H70" i="32"/>
  <c r="C30" i="96"/>
  <c r="FA3" i="50"/>
  <c r="B11" i="32"/>
  <c r="B30" i="73"/>
  <c r="AR19" i="32"/>
  <c r="B26" i="73"/>
  <c r="B35" i="73"/>
  <c r="M10" i="50"/>
  <c r="D38" i="52"/>
  <c r="DN2" i="50"/>
  <c r="C22" i="96"/>
  <c r="C82" i="53"/>
  <c r="M24" i="73"/>
  <c r="R5" i="32"/>
  <c r="V5" i="32"/>
  <c r="B72" i="21"/>
  <c r="F17" i="50"/>
  <c r="B15" i="32"/>
  <c r="D64" i="52"/>
  <c r="D65" i="52"/>
  <c r="F16" i="50"/>
  <c r="AC87" i="99"/>
  <c r="W92" i="99"/>
  <c r="AU19" i="32"/>
  <c r="L38" i="32" a="1"/>
  <c r="L42" i="32"/>
  <c r="K54" i="32" a="1"/>
  <c r="E42" i="73"/>
  <c r="E44" i="73"/>
  <c r="D34" i="52"/>
  <c r="D11" i="52"/>
  <c r="D35" i="52"/>
  <c r="D52" i="52"/>
  <c r="D8" i="52"/>
  <c r="D63" i="52"/>
  <c r="D49" i="52"/>
  <c r="D10" i="52"/>
  <c r="D50" i="52"/>
  <c r="D17" i="52"/>
  <c r="D61" i="52"/>
  <c r="D43" i="52"/>
  <c r="D58" i="52"/>
  <c r="D55" i="52"/>
  <c r="D33" i="52"/>
  <c r="D26" i="52"/>
  <c r="D51" i="52"/>
  <c r="D14" i="52"/>
  <c r="D53" i="52"/>
  <c r="D48" i="52"/>
  <c r="D22" i="52"/>
  <c r="D21" i="52"/>
  <c r="D29" i="52"/>
  <c r="D19" i="52"/>
  <c r="D12" i="52"/>
  <c r="D56" i="52"/>
  <c r="D24" i="52"/>
  <c r="D36" i="52"/>
  <c r="D25" i="52"/>
  <c r="D23" i="52"/>
  <c r="D16" i="52"/>
  <c r="D57" i="52"/>
  <c r="D60" i="52"/>
  <c r="D2" i="52"/>
  <c r="D32" i="52"/>
  <c r="D66" i="52"/>
  <c r="D44" i="52"/>
  <c r="D42" i="52"/>
  <c r="D59" i="52"/>
  <c r="D5" i="52"/>
  <c r="D18" i="52"/>
  <c r="D9" i="52"/>
  <c r="D39" i="52"/>
  <c r="D41" i="52"/>
  <c r="D54" i="52"/>
  <c r="D30" i="52"/>
  <c r="D37" i="52"/>
  <c r="D27" i="52"/>
  <c r="D31" i="52"/>
  <c r="D46" i="52"/>
  <c r="D13" i="52"/>
  <c r="D3" i="52"/>
  <c r="X54" i="32" a="1"/>
  <c r="X54" i="32"/>
  <c r="W23" i="99"/>
  <c r="W95" i="99"/>
  <c r="AG95" i="99"/>
  <c r="AG23" i="99"/>
  <c r="N11" i="50"/>
  <c r="N12" i="50"/>
  <c r="N10" i="50"/>
  <c r="D28" i="52"/>
  <c r="J16" i="32"/>
  <c r="I42" i="73"/>
  <c r="I43" i="73"/>
  <c r="D62" i="52"/>
  <c r="B19" i="32"/>
  <c r="B18" i="32"/>
  <c r="AV19" i="32"/>
  <c r="T54" i="32" a="1"/>
  <c r="AG59" i="99"/>
  <c r="AG131" i="99"/>
  <c r="W131" i="99"/>
  <c r="W167" i="99"/>
  <c r="J20" i="32"/>
  <c r="W59" i="99"/>
  <c r="W203" i="99"/>
  <c r="AG203" i="99"/>
  <c r="AG167" i="99"/>
  <c r="D47" i="52"/>
  <c r="M42" i="73"/>
  <c r="M43" i="73"/>
  <c r="AB4" i="32"/>
  <c r="AB29" i="32"/>
  <c r="K54" i="32"/>
  <c r="K58" i="32"/>
  <c r="K55" i="32"/>
  <c r="K57" i="32"/>
  <c r="K56" i="32"/>
  <c r="K60" i="32"/>
  <c r="G7" i="32"/>
  <c r="X55" i="32"/>
  <c r="X56" i="32"/>
  <c r="AC123" i="99"/>
  <c r="W128" i="99"/>
  <c r="AC51" i="99"/>
  <c r="W56" i="99"/>
  <c r="J65" i="32"/>
  <c r="J66" i="32"/>
  <c r="J67" i="32"/>
  <c r="J68" i="32"/>
  <c r="J69" i="32"/>
  <c r="J70" i="32"/>
  <c r="J71" i="32"/>
  <c r="O65" i="32" a="1"/>
  <c r="O65" i="32"/>
  <c r="AE41" i="32"/>
  <c r="AC195" i="99"/>
  <c r="W200" i="99"/>
  <c r="H65" i="32"/>
  <c r="AC1" i="52"/>
  <c r="B69" i="44"/>
  <c r="AC159" i="99"/>
  <c r="W164" i="99"/>
  <c r="X34" i="80"/>
  <c r="C9" i="73"/>
  <c r="BY15" i="50"/>
  <c r="E13" i="80"/>
  <c r="D4" i="52"/>
  <c r="T55" i="32"/>
  <c r="AU17" i="32"/>
  <c r="AU24" i="32"/>
  <c r="H67" i="32"/>
  <c r="AC3" i="52"/>
  <c r="T56" i="32"/>
  <c r="B108" i="51"/>
  <c r="B20" i="32"/>
  <c r="AE4" i="52"/>
  <c r="AE2" i="52"/>
  <c r="AE1" i="52"/>
  <c r="AE3" i="52"/>
  <c r="AU10" i="32"/>
  <c r="AE7" i="52"/>
  <c r="L80" i="109"/>
  <c r="AH7" i="96"/>
  <c r="AE7" i="96"/>
  <c r="AF7" i="96"/>
  <c r="M5" i="99"/>
  <c r="L82" i="109"/>
  <c r="H82" i="109"/>
  <c r="L81" i="109"/>
  <c r="H81" i="109"/>
  <c r="H80" i="109"/>
  <c r="G80" i="109"/>
  <c r="G82" i="109"/>
  <c r="G81" i="109"/>
  <c r="E43" i="73"/>
  <c r="O43" i="73"/>
  <c r="AC26" i="73"/>
  <c r="AL26" i="73"/>
  <c r="AD45" i="73"/>
  <c r="O83" i="109"/>
  <c r="P77" i="109"/>
  <c r="S16" i="107"/>
  <c r="O16" i="107"/>
  <c r="AF45" i="73"/>
  <c r="P27" i="109"/>
  <c r="AE45" i="73"/>
  <c r="AK29" i="73"/>
  <c r="AC28" i="73"/>
  <c r="AL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P43" i="106"/>
  <c r="N43" i="106"/>
  <c r="AC15" i="99"/>
  <c r="W20" i="99"/>
  <c r="S42" i="106"/>
  <c r="L39" i="32"/>
  <c r="L40" i="32"/>
  <c r="L38" i="32"/>
  <c r="M38" i="32"/>
  <c r="L41" i="32"/>
  <c r="AE8" i="52"/>
  <c r="AE5" i="52"/>
  <c r="A84" i="51"/>
  <c r="A89" i="51"/>
  <c r="C105" i="51"/>
  <c r="A85" i="51"/>
  <c r="C111" i="51"/>
  <c r="C100" i="51"/>
  <c r="A83" i="51"/>
  <c r="M55" i="73"/>
  <c r="S10" i="32"/>
  <c r="S8" i="32"/>
  <c r="AC12" i="99" a="1"/>
  <c r="AC12" i="99"/>
  <c r="AJ13" i="99"/>
  <c r="AC13" i="99"/>
  <c r="AT17" i="32"/>
  <c r="B110" i="51"/>
  <c r="F110" i="51"/>
  <c r="E110" i="51"/>
  <c r="C121" i="51"/>
  <c r="A88" i="51"/>
  <c r="I55" i="73"/>
  <c r="A86" i="51"/>
  <c r="V5" i="96"/>
  <c r="W3" i="96"/>
  <c r="E55" i="73"/>
  <c r="AT37" i="32"/>
  <c r="I56" i="73"/>
  <c r="M56" i="73"/>
  <c r="E56" i="73"/>
  <c r="C96" i="51"/>
  <c r="A82" i="51"/>
  <c r="AT13" i="32"/>
  <c r="B104" i="51"/>
  <c r="F104" i="51"/>
  <c r="E104" i="51"/>
  <c r="C115" i="51"/>
  <c r="M80" i="109"/>
  <c r="AI7" i="96"/>
  <c r="AJ8" i="96"/>
  <c r="AJ10" i="96"/>
  <c r="M81" i="109"/>
  <c r="AK33" i="73"/>
  <c r="AC32" i="73"/>
  <c r="AL32" i="73"/>
  <c r="O26" i="109"/>
  <c r="M82" i="109"/>
  <c r="O27" i="109"/>
  <c r="AK35" i="73"/>
  <c r="AC34" i="73"/>
  <c r="AL34" i="73"/>
  <c r="N27" i="109"/>
  <c r="AK31" i="73"/>
  <c r="AC30" i="73"/>
  <c r="AL30" i="73"/>
  <c r="N16" i="107"/>
  <c r="T16" i="107"/>
  <c r="N26" i="109"/>
  <c r="M26" i="109"/>
  <c r="O44" i="73"/>
  <c r="AC24" i="73"/>
  <c r="AL24" i="73"/>
  <c r="W81" i="109"/>
  <c r="P28" i="109"/>
  <c r="O28" i="109"/>
  <c r="AH29" i="109"/>
  <c r="N28" i="109"/>
  <c r="AA44" i="106"/>
  <c r="O43" i="106"/>
  <c r="AE43" i="106"/>
  <c r="P42" i="106"/>
  <c r="Q42" i="106"/>
  <c r="O42" i="106"/>
  <c r="P47" i="106"/>
  <c r="O47" i="106"/>
  <c r="N47" i="106"/>
  <c r="N42" i="106"/>
  <c r="AD18" i="107"/>
  <c r="U18" i="107"/>
  <c r="AC18" i="107"/>
  <c r="AD45" i="106"/>
  <c r="W39" i="106"/>
  <c r="X39" i="106"/>
  <c r="Q46" i="106"/>
  <c r="O46" i="106"/>
  <c r="N46" i="106"/>
  <c r="AE46" i="106"/>
  <c r="AE45" i="106"/>
  <c r="AC45" i="106"/>
  <c r="AA45" i="106"/>
  <c r="U8" i="106"/>
  <c r="Q44" i="106"/>
  <c r="V44" i="106"/>
  <c r="P44" i="106"/>
  <c r="AC44" i="106"/>
  <c r="B9" i="32"/>
  <c r="M41" i="73"/>
  <c r="O41" i="73"/>
  <c r="B36" i="32" a="1"/>
  <c r="B36" i="32"/>
  <c r="I41" i="73"/>
  <c r="K41" i="73"/>
  <c r="E41" i="73"/>
  <c r="G41" i="73"/>
  <c r="L33" i="32"/>
  <c r="E48" i="73"/>
  <c r="I48" i="73"/>
  <c r="AC84" i="99"/>
  <c r="AG43" i="73"/>
  <c r="AG44" i="73"/>
  <c r="AG42" i="73"/>
  <c r="U9" i="96"/>
  <c r="Z7" i="96" a="1"/>
  <c r="U10" i="96"/>
  <c r="AC156" i="99"/>
  <c r="AC192" i="99"/>
  <c r="T54" i="32"/>
  <c r="T59" i="32"/>
  <c r="T36" i="32" a="1"/>
  <c r="L36" i="32" a="1"/>
  <c r="M48" i="73"/>
  <c r="AC48" i="99"/>
  <c r="AC120" i="99"/>
  <c r="R26" i="109"/>
  <c r="AJ7" i="96"/>
  <c r="AJ11" i="96"/>
  <c r="M35" i="96"/>
  <c r="Y27" i="109"/>
  <c r="S26" i="109"/>
  <c r="AL37" i="73"/>
  <c r="AE42" i="106"/>
  <c r="AA43" i="106"/>
  <c r="U43" i="106"/>
  <c r="V43" i="106"/>
  <c r="N81" i="109"/>
  <c r="Y26" i="109"/>
  <c r="Z26" i="109"/>
  <c r="V81" i="109"/>
  <c r="Z27" i="109"/>
  <c r="N80" i="109"/>
  <c r="W80" i="109"/>
  <c r="V80" i="109"/>
  <c r="W27" i="109"/>
  <c r="V27" i="109"/>
  <c r="N82" i="109"/>
  <c r="W82" i="109"/>
  <c r="V82" i="109"/>
  <c r="AD44" i="106"/>
  <c r="AE44" i="106"/>
  <c r="AD43" i="106"/>
  <c r="AC43" i="106"/>
  <c r="AA47" i="106"/>
  <c r="AC47" i="106"/>
  <c r="AD47" i="106"/>
  <c r="U47" i="106"/>
  <c r="V47" i="106"/>
  <c r="AE47" i="106"/>
  <c r="AD42" i="106"/>
  <c r="AA42" i="106"/>
  <c r="U42" i="106"/>
  <c r="V42" i="106"/>
  <c r="AB42" i="106"/>
  <c r="AC42" i="106"/>
  <c r="U21" i="107"/>
  <c r="AD21" i="107"/>
  <c r="AC21" i="107"/>
  <c r="AD20" i="107"/>
  <c r="U19" i="107"/>
  <c r="U17" i="107"/>
  <c r="AC17" i="107"/>
  <c r="AD17" i="107"/>
  <c r="AD19" i="107"/>
  <c r="U16" i="107"/>
  <c r="AC16" i="107"/>
  <c r="AD16" i="107"/>
  <c r="AC46" i="106"/>
  <c r="AA46" i="106"/>
  <c r="U46" i="106"/>
  <c r="V46" i="106"/>
  <c r="AD46" i="106"/>
  <c r="AC20" i="107"/>
  <c r="U20" i="107"/>
  <c r="AC19" i="107"/>
  <c r="AC205" i="99"/>
  <c r="AT33" i="32"/>
  <c r="AT35" i="32"/>
  <c r="L30" i="32"/>
  <c r="AC25" i="99"/>
  <c r="AC97" i="99"/>
  <c r="AC169" i="99"/>
  <c r="AC133" i="99"/>
  <c r="L36" i="32"/>
  <c r="M36" i="32"/>
  <c r="V19" i="96"/>
  <c r="M32" i="96"/>
  <c r="AZ21" i="32"/>
  <c r="AY21" i="32"/>
  <c r="AB23" i="50"/>
  <c r="S18" i="32"/>
  <c r="T43" i="32"/>
  <c r="T41" i="32"/>
  <c r="T40" i="32"/>
  <c r="T38" i="32"/>
  <c r="T42" i="32"/>
  <c r="T44" i="32"/>
  <c r="T37" i="32"/>
  <c r="T39" i="32"/>
  <c r="T36" i="32"/>
  <c r="Z24" i="96"/>
  <c r="Z51" i="96"/>
  <c r="Z42" i="96"/>
  <c r="Z8" i="96"/>
  <c r="Z43" i="96"/>
  <c r="Z21" i="96"/>
  <c r="Z18" i="96"/>
  <c r="Z35" i="96"/>
  <c r="Z11" i="96"/>
  <c r="Z45" i="96"/>
  <c r="Z56" i="96"/>
  <c r="Z50" i="96"/>
  <c r="Z52" i="96"/>
  <c r="Z20" i="96"/>
  <c r="Z27" i="96"/>
  <c r="Z15" i="96"/>
  <c r="Z7" i="96"/>
  <c r="Z53" i="96"/>
  <c r="Z32" i="96"/>
  <c r="Z33" i="96"/>
  <c r="Z14" i="96"/>
  <c r="Z63" i="96"/>
  <c r="Z57" i="96"/>
  <c r="Z29" i="96"/>
  <c r="Z62" i="96"/>
  <c r="Z31" i="96"/>
  <c r="Z19" i="96"/>
  <c r="Z9" i="96"/>
  <c r="Z28" i="96"/>
  <c r="Z48" i="96"/>
  <c r="Z64" i="96"/>
  <c r="Z55" i="96"/>
  <c r="Z44" i="96"/>
  <c r="Z58" i="96"/>
  <c r="Z60" i="96"/>
  <c r="Z16" i="96"/>
  <c r="Z30" i="96"/>
  <c r="Z25" i="96"/>
  <c r="Z54" i="96"/>
  <c r="Z49" i="96"/>
  <c r="Z39" i="96"/>
  <c r="Z61" i="96"/>
  <c r="Z46" i="96"/>
  <c r="Z37" i="96"/>
  <c r="Z23" i="96"/>
  <c r="Z34" i="96"/>
  <c r="Z22" i="96"/>
  <c r="Z13" i="96"/>
  <c r="Z38" i="96"/>
  <c r="Z26" i="96"/>
  <c r="Z17" i="96"/>
  <c r="Z10" i="96"/>
  <c r="Z41" i="96"/>
  <c r="Z40" i="96"/>
  <c r="Z36" i="96"/>
  <c r="Z47" i="96"/>
  <c r="Z12" i="96"/>
  <c r="Z59" i="96"/>
  <c r="AC61" i="99"/>
  <c r="V26" i="109"/>
  <c r="W26" i="109"/>
  <c r="S27" i="109"/>
  <c r="W79" i="109"/>
  <c r="W83" i="109"/>
  <c r="V79" i="109"/>
  <c r="V83" i="109"/>
  <c r="R29" i="109"/>
  <c r="J29" i="109"/>
  <c r="Y28" i="109"/>
  <c r="Z28" i="109"/>
  <c r="S28" i="109"/>
  <c r="S29" i="109"/>
  <c r="W28" i="109"/>
  <c r="V28" i="109"/>
  <c r="AE50" i="106"/>
  <c r="AE51" i="106"/>
  <c r="AE59" i="106"/>
  <c r="AA50" i="106"/>
  <c r="AA53" i="106"/>
  <c r="AA48" i="106"/>
  <c r="AA54" i="106"/>
  <c r="AA56" i="106"/>
  <c r="AD22" i="107"/>
  <c r="AD15" i="107"/>
  <c r="AC22" i="107"/>
  <c r="AC15" i="107"/>
  <c r="AD50" i="106"/>
  <c r="AD51" i="106"/>
  <c r="AD59" i="106"/>
  <c r="AC50" i="106"/>
  <c r="AC51" i="106"/>
  <c r="AC59" i="106"/>
  <c r="U48" i="106"/>
  <c r="AL41" i="106"/>
  <c r="P36" i="32" a="1"/>
  <c r="P36" i="32"/>
  <c r="AH5" i="71"/>
  <c r="W31" i="109"/>
  <c r="W32" i="109"/>
  <c r="W33" i="109"/>
  <c r="P1" i="50" a="1"/>
  <c r="P1" i="50"/>
  <c r="AD44" i="32"/>
  <c r="AD23" i="107"/>
  <c r="AD24" i="107"/>
  <c r="AD25" i="107"/>
  <c r="W84" i="109"/>
  <c r="V29" i="109"/>
  <c r="V56" i="109"/>
  <c r="AE58" i="106"/>
  <c r="Y39" i="109"/>
  <c r="V31" i="109"/>
  <c r="Y29" i="109"/>
  <c r="Z56" i="109"/>
  <c r="Z39" i="109"/>
  <c r="AA51" i="106"/>
  <c r="AA59" i="106"/>
  <c r="AA52" i="106"/>
  <c r="AC48" i="106"/>
  <c r="AC49" i="106"/>
  <c r="AC55" i="106"/>
  <c r="AA70" i="106"/>
  <c r="Z70" i="106"/>
  <c r="AA49" i="106"/>
  <c r="AC58" i="106"/>
  <c r="AC52" i="106"/>
  <c r="AC53" i="106"/>
  <c r="AC24" i="107"/>
  <c r="AC25" i="107"/>
  <c r="AD58" i="106"/>
  <c r="AU31" i="32"/>
  <c r="AF37" i="32"/>
  <c r="AF38" i="32"/>
  <c r="AE38" i="32"/>
  <c r="AF40" i="32"/>
  <c r="AE40" i="32"/>
  <c r="AF39" i="32"/>
  <c r="AE39" i="32"/>
  <c r="AF36" i="32"/>
  <c r="V85" i="109"/>
  <c r="V86" i="109"/>
  <c r="V87" i="109"/>
  <c r="W85" i="109"/>
  <c r="W86" i="109"/>
  <c r="W87" i="109"/>
  <c r="AD71" i="106"/>
  <c r="AA71" i="106"/>
  <c r="AA58" i="106"/>
  <c r="AG58" i="106"/>
  <c r="V34" i="109"/>
  <c r="W34" i="109"/>
  <c r="W35" i="109"/>
  <c r="W37" i="109"/>
  <c r="Z40" i="109"/>
  <c r="Z46" i="109"/>
  <c r="Z54" i="109"/>
  <c r="V32" i="109"/>
  <c r="AC56" i="106"/>
  <c r="AD72" i="106"/>
  <c r="AA72" i="106"/>
  <c r="AD48" i="106"/>
  <c r="AE48" i="106"/>
  <c r="AC30" i="107"/>
  <c r="AD30" i="107"/>
  <c r="AF71" i="106"/>
  <c r="AH69" i="106"/>
  <c r="U2" i="106"/>
  <c r="AH6" i="71"/>
  <c r="AB9" i="71"/>
  <c r="W89" i="109"/>
  <c r="Y46" i="109"/>
  <c r="Y54" i="109"/>
  <c r="Z55" i="109"/>
  <c r="Z59" i="109"/>
  <c r="V35" i="109"/>
  <c r="V37" i="109"/>
  <c r="Z37" i="109"/>
  <c r="AD31" i="107"/>
  <c r="Z57" i="109"/>
  <c r="AH7" i="71"/>
  <c r="X4" i="99"/>
  <c r="Z58" i="109"/>
  <c r="V58" i="109"/>
  <c r="V59" i="109"/>
  <c r="Z60" i="109"/>
  <c r="Z62" i="109"/>
  <c r="W37" i="73"/>
  <c r="A10" i="99"/>
  <c r="AL39" i="73"/>
  <c r="AP37" i="73"/>
  <c r="S39" i="73"/>
  <c r="K54" i="91" a="1"/>
  <c r="K56" i="91"/>
  <c r="K60" i="91"/>
  <c r="K54" i="92" a="1"/>
  <c r="K56" i="92"/>
  <c r="K60" i="92"/>
  <c r="K54" i="93" a="1"/>
  <c r="K56" i="93"/>
  <c r="K60" i="93"/>
  <c r="K54" i="94" a="1"/>
  <c r="K56" i="94"/>
  <c r="K60" i="94"/>
  <c r="K54" i="95" a="1"/>
  <c r="K56" i="95"/>
  <c r="K60" i="95"/>
  <c r="K58" i="91"/>
  <c r="K57" i="91"/>
  <c r="K55" i="91"/>
  <c r="K54" i="91"/>
  <c r="K58" i="92"/>
  <c r="K57" i="92"/>
  <c r="K55" i="92"/>
  <c r="K54" i="92"/>
  <c r="K58" i="93"/>
  <c r="K57" i="93"/>
  <c r="K55" i="93"/>
  <c r="K54" i="93"/>
  <c r="K58" i="94"/>
  <c r="K57" i="94"/>
  <c r="K55" i="94"/>
  <c r="K54" i="94"/>
  <c r="K58" i="95"/>
  <c r="K57" i="95"/>
  <c r="K55" i="95"/>
  <c r="K54" i="95"/>
  <c r="X54" i="92" a="1"/>
  <c r="X54" i="92"/>
  <c r="X55" i="92"/>
  <c r="X56" i="92"/>
  <c r="X54" i="93" a="1"/>
  <c r="X54" i="93"/>
  <c r="X55" i="93"/>
  <c r="X56" i="93"/>
  <c r="X54" i="94" a="1"/>
  <c r="X54" i="94"/>
  <c r="X55" i="94"/>
  <c r="X56" i="94"/>
  <c r="X54" i="95" a="1"/>
  <c r="X54" i="95"/>
  <c r="X55" i="95"/>
  <c r="X56" i="95"/>
  <c r="AD54" i="32" a="1"/>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<sst xmlns="http://schemas.openxmlformats.org/spreadsheetml/2006/main" count="21013" uniqueCount="4545">
  <si>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</si>
  <si>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</si>
  <si>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</si>
  <si>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</si>
  <si>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</si>
  <si>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</si>
  <si>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</si>
  <si>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</si>
  <si>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</si>
  <si>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</si>
  <si>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</si>
  <si>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</si>
  <si>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</si>
  <si>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</si>
  <si>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</si>
  <si>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</si>
  <si>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</si>
  <si>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</si>
  <si>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</si>
  <si>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</si>
  <si>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</si>
  <si>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</si>
  <si>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</si>
  <si>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</si>
  <si>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</si>
  <si>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</si>
  <si>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</si>
  <si>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</si>
  <si>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</si>
  <si>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</si>
  <si>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</si>
  <si>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</si>
  <si>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</si>
  <si>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</si>
  <si>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</si>
  <si>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</si>
  <si>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</si>
  <si>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</si>
  <si>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</si>
  <si>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</si>
  <si>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</si>
  <si>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</si>
  <si>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</si>
  <si>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</si>
  <si>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</si>
  <si>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</si>
  <si>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</si>
  <si>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</si>
  <si>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</si>
  <si>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</si>
  <si>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</si>
  <si>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</si>
  <si>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</si>
  <si>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</si>
  <si>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</si>
  <si>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</si>
  <si>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</si>
  <si>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</si>
  <si>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</si>
  <si>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</si>
  <si>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</si>
  <si>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</si>
  <si>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</si>
  <si>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</si>
  <si>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</si>
  <si>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</si>
  <si>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</si>
  <si>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</si>
  <si>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</si>
  <si>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</si>
  <si>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</si>
  <si>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</si>
  <si>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</si>
  <si>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</si>
  <si>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</si>
  <si>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</si>
  <si>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</si>
  <si>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</si>
  <si>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</si>
  <si>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</si>
  <si>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</si>
  <si>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</si>
  <si>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</si>
  <si>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</si>
  <si>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</si>
  <si>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</si>
  <si>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</si>
  <si>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</si>
  <si>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</si>
  <si>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</si>
  <si>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</si>
  <si>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</si>
  <si>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</si>
  <si>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</si>
  <si>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</si>
  <si>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</si>
  <si>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</si>
  <si>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</si>
  <si>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</si>
  <si>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</si>
  <si>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</si>
  <si>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</si>
  <si>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</si>
  <si>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</si>
  <si>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</si>
  <si>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</si>
  <si>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</si>
  <si>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</si>
  <si>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</si>
  <si>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</si>
  <si>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</si>
  <si>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</si>
  <si>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</si>
  <si>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</si>
  <si>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</si>
  <si>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</si>
  <si>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</si>
  <si>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</si>
  <si>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</si>
  <si>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</si>
  <si>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</si>
  <si>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</si>
  <si>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</si>
  <si>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</si>
  <si>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</si>
  <si>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</si>
  <si>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</si>
  <si>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</si>
  <si>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</si>
  <si>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</si>
  <si>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</si>
  <si>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</si>
  <si>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</si>
  <si>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</si>
  <si>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</si>
  <si>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</si>
  <si>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</si>
  <si>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</si>
  <si>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</si>
  <si>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</si>
  <si>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</si>
  <si>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</si>
  <si>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</si>
  <si>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</si>
  <si>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</si>
  <si>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</si>
  <si>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</si>
  <si>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</si>
  <si>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</si>
  <si>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</si>
  <si>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</si>
  <si>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</si>
  <si>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</si>
  <si>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</si>
  <si>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</si>
  <si>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</si>
  <si>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</si>
  <si>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</si>
  <si>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</si>
  <si>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</si>
  <si>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</si>
  <si>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</si>
  <si>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</si>
  <si>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</si>
  <si>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</si>
  <si>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</si>
  <si>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</si>
  <si>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</si>
  <si>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</si>
  <si>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</si>
  <si>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</si>
  <si>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</si>
  <si>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</si>
  <si>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</si>
  <si>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</si>
  <si>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</si>
  <si>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</si>
  <si>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</si>
  <si>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</si>
  <si>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</si>
  <si>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</si>
  <si>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</si>
  <si>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</si>
  <si>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</si>
  <si>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</si>
  <si>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</si>
  <si>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</si>
  <si>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</si>
  <si>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</si>
  <si>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</si>
  <si>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</si>
  <si>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</si>
  <si>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</si>
  <si>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</si>
  <si>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</si>
  <si>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</si>
  <si>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</si>
  <si>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</si>
  <si>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</si>
  <si>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</si>
  <si>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</si>
  <si>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</si>
  <si>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</si>
  <si>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</si>
  <si>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</si>
  <si>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</si>
  <si>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</si>
  <si>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</si>
  <si>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</si>
  <si>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</si>
  <si>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</si>
  <si>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</si>
  <si>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</si>
  <si>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</si>
  <si>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</si>
  <si>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</si>
  <si>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</si>
  <si>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</si>
  <si>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</si>
  <si>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</si>
  <si>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</si>
  <si>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</si>
  <si>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</si>
  <si>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</si>
  <si>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</si>
  <si>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</si>
  <si>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</si>
  <si>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</si>
  <si>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</si>
  <si>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</si>
  <si>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</si>
  <si>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</si>
  <si>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</si>
  <si>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</si>
  <si>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</si>
  <si>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</si>
  <si>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</si>
  <si>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</si>
  <si>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</si>
  <si>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</si>
  <si>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</si>
  <si>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</si>
  <si>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</si>
  <si>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</si>
  <si>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</si>
  <si>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</si>
  <si>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</si>
  <si>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</si>
  <si>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</si>
  <si>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</si>
  <si>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</si>
  <si>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</si>
  <si>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</si>
  <si>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</si>
  <si>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</si>
  <si>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</si>
  <si>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</si>
  <si>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</si>
  <si>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</si>
  <si>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</si>
  <si>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</si>
  <si>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</si>
  <si>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</si>
  <si>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</si>
  <si>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</si>
  <si>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</si>
  <si>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</si>
  <si>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</si>
  <si>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</si>
  <si>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</si>
  <si>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</si>
  <si>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</si>
  <si>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</si>
  <si>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</si>
  <si>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</si>
  <si>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</si>
  <si>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</si>
  <si>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</si>
  <si>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</si>
  <si>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</si>
  <si>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</si>
  <si>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</si>
  <si>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</si>
  <si>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</si>
  <si>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</si>
  <si>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</si>
  <si>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</si>
  <si>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</si>
  <si>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</si>
  <si>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</si>
  <si>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</si>
  <si>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</si>
  <si>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</si>
  <si>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</si>
  <si>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</si>
  <si>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</si>
  <si>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</si>
  <si>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</si>
  <si>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</si>
  <si>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</si>
  <si>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</si>
  <si>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</si>
  <si>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</si>
  <si>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</si>
  <si>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</si>
  <si>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</si>
  <si>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</si>
  <si>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</si>
  <si>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</si>
  <si>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</si>
  <si>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</si>
  <si>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</si>
  <si>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</si>
  <si>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</si>
  <si>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</si>
  <si>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</si>
  <si>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</si>
  <si>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</si>
  <si>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</si>
  <si>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</si>
  <si>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</si>
  <si>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</si>
  <si>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</si>
  <si>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</si>
  <si>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</si>
  <si>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</si>
  <si>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</si>
  <si>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</si>
  <si>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</si>
  <si>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</si>
  <si>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</si>
  <si>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</si>
  <si>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</si>
  <si>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</si>
  <si>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</si>
  <si>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</si>
  <si>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</si>
  <si>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</si>
  <si>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</si>
  <si>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</si>
  <si>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</si>
  <si>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</si>
  <si>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</si>
  <si>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</si>
  <si>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</si>
  <si>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</si>
  <si>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</si>
  <si>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</si>
  <si>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</si>
  <si>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</si>
  <si>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</si>
  <si>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</si>
  <si>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</si>
  <si>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</si>
  <si>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</si>
  <si>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</si>
  <si>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</si>
  <si>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</si>
  <si>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</si>
  <si>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</si>
  <si>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</si>
  <si>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</si>
  <si>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</si>
  <si>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</si>
  <si>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</si>
  <si>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</si>
  <si>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</si>
  <si>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</si>
  <si>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</si>
  <si>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</si>
  <si>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</si>
  <si>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</si>
  <si>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</si>
  <si>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</si>
  <si>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</si>
  <si>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</si>
  <si>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</si>
  <si>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</si>
  <si>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</si>
  <si>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</si>
  <si>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</si>
  <si>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</si>
  <si>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</si>
  <si>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</si>
  <si>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</si>
  <si>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</si>
  <si>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</si>
  <si>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</si>
  <si>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</si>
  <si>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</si>
  <si>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</si>
  <si>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</si>
  <si>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</si>
  <si>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</si>
  <si>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</si>
  <si>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</si>
  <si>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</si>
  <si>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</si>
  <si>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</si>
  <si>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</si>
  <si>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</si>
  <si>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</si>
  <si>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</si>
  <si>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</si>
  <si>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</si>
  <si>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</si>
  <si>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</si>
  <si>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</si>
  <si>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</si>
  <si>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</si>
  <si>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</si>
  <si>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</si>
  <si>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</si>
  <si>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</si>
  <si>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</si>
  <si>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</si>
  <si>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</si>
  <si>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</si>
  <si>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</si>
  <si>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</si>
  <si>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</si>
  <si>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</si>
  <si>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</si>
  <si>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</si>
  <si>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</si>
  <si>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</si>
  <si>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</si>
  <si>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</si>
  <si>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</si>
  <si>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</si>
  <si>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</si>
  <si>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</si>
  <si>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</si>
  <si>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</si>
  <si>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</si>
  <si>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</si>
  <si>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</si>
  <si>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</si>
  <si>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</si>
  <si>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</si>
  <si>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</si>
  <si>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</si>
  <si>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</si>
  <si>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</si>
  <si>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</si>
  <si>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</si>
  <si>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</si>
  <si>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</si>
  <si>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</si>
  <si>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</si>
  <si>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</si>
  <si>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</si>
  <si>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</si>
  <si>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</si>
  <si>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</si>
  <si>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</si>
  <si>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</si>
  <si>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</si>
  <si>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</si>
  <si>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</si>
  <si>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</si>
  <si>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</si>
  <si>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</si>
  <si>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</si>
  <si>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</si>
  <si>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</si>
  <si>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</si>
  <si>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</si>
  <si>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</si>
  <si>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</si>
  <si>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</si>
  <si>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</si>
  <si>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</si>
  <si>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</si>
  <si>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</si>
  <si>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</si>
  <si>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</si>
  <si>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</si>
  <si>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</si>
  <si>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</si>
  <si>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</si>
  <si>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</si>
  <si>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</si>
  <si>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</si>
  <si>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</si>
  <si>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</si>
  <si>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</si>
  <si>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</si>
  <si>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</si>
  <si>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</si>
  <si>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</si>
  <si>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</si>
  <si>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</si>
  <si>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</si>
  <si>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</si>
  <si>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</si>
  <si>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</si>
  <si>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</si>
  <si>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</si>
  <si>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</si>
  <si>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</si>
  <si>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</si>
  <si>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</si>
  <si>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</si>
  <si>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</si>
  <si>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</si>
  <si>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</si>
  <si>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</si>
  <si>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</si>
  <si>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</si>
  <si>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</si>
  <si>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</si>
  <si>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</si>
  <si>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</si>
  <si>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</si>
  <si>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</si>
  <si>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</si>
  <si>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</si>
  <si>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</si>
  <si>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</si>
  <si>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</si>
  <si>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</si>
  <si>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</si>
  <si>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</si>
  <si>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</si>
  <si>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</si>
  <si>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</si>
  <si>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</si>
  <si>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</si>
  <si>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</si>
  <si>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</si>
  <si>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</si>
  <si>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</si>
  <si>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</si>
  <si>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</si>
  <si>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</si>
  <si>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</si>
  <si>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</si>
  <si>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</si>
  <si>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</si>
  <si>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</si>
  <si>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</si>
  <si>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</si>
  <si>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</si>
  <si>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</si>
  <si>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</si>
  <si>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</si>
  <si>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</si>
  <si>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</si>
  <si>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</si>
  <si>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</si>
  <si>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</si>
  <si>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</si>
  <si>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</si>
  <si>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</si>
  <si>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</si>
  <si>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</si>
  <si>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</si>
  <si>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</si>
  <si>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</si>
  <si>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</si>
  <si>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</si>
  <si>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</si>
  <si>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</si>
  <si>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</si>
  <si>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</si>
  <si>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</si>
  <si>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</si>
  <si>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</si>
  <si>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</si>
  <si>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</si>
  <si>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</si>
  <si>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</si>
  <si>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</si>
  <si>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</si>
  <si>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</si>
  <si>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</si>
  <si>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</si>
  <si>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</si>
  <si>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</si>
  <si>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</si>
  <si>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</si>
  <si>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</si>
  <si>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</si>
  <si>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</si>
  <si>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</si>
  <si>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</si>
  <si>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</si>
  <si>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</si>
  <si>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</si>
  <si>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</si>
  <si>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</si>
  <si>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</si>
  <si>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</si>
  <si>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</si>
  <si>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</si>
  <si>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</si>
  <si>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</si>
  <si>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</si>
  <si>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</si>
  <si>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</si>
  <si>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</si>
  <si>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</si>
  <si>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</si>
  <si>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</si>
  <si>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</si>
  <si>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</si>
  <si>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</si>
  <si>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</si>
  <si>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</si>
  <si>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</si>
  <si>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</si>
  <si>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</si>
  <si>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</si>
  <si>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</si>
  <si>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</si>
  <si>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</si>
  <si>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</si>
  <si>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</si>
  <si>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</si>
  <si>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</si>
  <si>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</si>
  <si>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</si>
  <si>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</si>
  <si>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</si>
  <si>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</si>
  <si>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</si>
  <si>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</si>
  <si>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</si>
  <si>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</si>
  <si>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</si>
  <si>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</si>
  <si>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</si>
  <si>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</si>
  <si>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</si>
  <si>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</si>
  <si>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</si>
  <si>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</si>
  <si>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</si>
  <si>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</si>
  <si>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</si>
  <si>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</si>
  <si>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</si>
  <si>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</si>
  <si>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</si>
  <si>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</si>
  <si>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</si>
  <si>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</si>
  <si>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</si>
  <si>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</si>
  <si>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</si>
  <si>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</si>
  <si>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</si>
  <si>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</si>
  <si>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</si>
  <si>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</si>
  <si>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</si>
  <si>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</si>
  <si>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</si>
  <si>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</si>
  <si>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</si>
  <si>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</si>
  <si>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</si>
  <si>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</si>
  <si>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</si>
  <si>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</si>
  <si>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</si>
  <si>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</si>
  <si>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</si>
  <si>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</si>
  <si>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</si>
  <si>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</si>
  <si>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</si>
  <si>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</si>
  <si>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</si>
  <si>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</si>
  <si>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</si>
  <si>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</si>
  <si>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</si>
  <si>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</si>
  <si>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</si>
  <si>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</si>
  <si>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</si>
  <si>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</si>
  <si>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</si>
  <si>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</si>
  <si>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</si>
  <si>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</si>
  <si>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</si>
  <si>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</si>
  <si>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</si>
  <si>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</si>
  <si>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</si>
  <si>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</si>
  <si>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</si>
  <si>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</si>
  <si>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</si>
  <si>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</si>
  <si>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</si>
  <si>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</si>
  <si>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</si>
  <si>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</si>
  <si>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</si>
  <si>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</si>
  <si>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</si>
  <si>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</si>
  <si>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</si>
  <si>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</si>
  <si>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</si>
  <si>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</si>
  <si>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</si>
  <si>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</si>
  <si>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</si>
  <si>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</si>
  <si>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</si>
  <si>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</si>
  <si>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</si>
  <si>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</si>
  <si>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</si>
  <si>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</si>
  <si>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</si>
  <si>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</si>
  <si>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</si>
  <si>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</si>
  <si>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</si>
  <si>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</si>
  <si>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</si>
  <si>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</si>
  <si>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</si>
  <si>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</si>
  <si>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</si>
  <si>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</si>
  <si>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</si>
  <si>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</si>
  <si>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</si>
  <si>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</si>
  <si>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</si>
  <si>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</si>
  <si>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</si>
  <si>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</si>
  <si>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</si>
  <si>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</si>
  <si>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</si>
  <si>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</si>
  <si>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</si>
  <si>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</si>
  <si>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</si>
  <si>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</si>
  <si>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</si>
  <si>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</si>
  <si>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</si>
  <si>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</si>
  <si>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</si>
  <si>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</si>
  <si>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</si>
  <si>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</si>
  <si>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</si>
  <si>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</si>
  <si>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</si>
  <si>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</si>
  <si>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</si>
  <si>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</si>
  <si>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</si>
  <si>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</si>
  <si>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</si>
  <si>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</si>
  <si>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</si>
  <si>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</si>
  <si>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</si>
  <si>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</si>
  <si>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</si>
  <si>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</si>
  <si>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</si>
  <si>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</si>
  <si>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</si>
  <si>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</si>
  <si>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</si>
  <si>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</si>
  <si>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</si>
  <si>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</si>
  <si>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</si>
  <si>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</si>
  <si>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</si>
  <si>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</si>
  <si>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</si>
  <si>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</si>
  <si>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</si>
  <si>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</si>
  <si>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</si>
  <si>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</si>
  <si>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</si>
  <si>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</si>
  <si>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</si>
  <si>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</si>
  <si>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</si>
  <si>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</si>
  <si>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</si>
  <si>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</si>
  <si>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</si>
  <si>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</si>
  <si>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</si>
  <si>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</si>
  <si>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</si>
  <si>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</si>
  <si>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</si>
  <si>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</si>
  <si>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</si>
  <si>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</si>
  <si>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</si>
  <si>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</si>
  <si>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</si>
  <si>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</si>
  <si>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</si>
  <si>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</si>
  <si>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</si>
  <si>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</si>
  <si>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</si>
  <si>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</si>
  <si>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</si>
  <si>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</si>
  <si>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</si>
  <si>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</si>
  <si>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</si>
  <si>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</si>
  <si>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</si>
  <si>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</si>
  <si>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</si>
  <si>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</si>
  <si>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</si>
  <si>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</si>
  <si>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</si>
  <si>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</si>
  <si>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</si>
  <si>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</si>
  <si>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</si>
  <si>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</si>
  <si>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</si>
  <si>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</si>
  <si>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</si>
  <si>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</si>
  <si>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</si>
  <si>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</si>
  <si>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</si>
  <si>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</si>
  <si>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</si>
  <si>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</si>
  <si>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</si>
  <si>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</si>
  <si>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</si>
  <si>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</si>
  <si>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</si>
  <si>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</si>
  <si>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</si>
  <si>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</si>
  <si>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</si>
  <si>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</si>
  <si>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</si>
  <si>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</si>
  <si>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</si>
  <si>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</si>
  <si>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</si>
  <si>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</si>
  <si>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</si>
  <si>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</si>
  <si>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</si>
  <si>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</si>
  <si>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</si>
  <si>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</si>
  <si>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</si>
  <si>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</si>
  <si>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</si>
  <si>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</si>
  <si>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</si>
  <si>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</si>
  <si>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</si>
  <si>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</si>
  <si>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</si>
  <si>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</si>
  <si>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</si>
  <si>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</si>
  <si>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</si>
  <si>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</si>
  <si>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</si>
  <si>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</si>
  <si>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</si>
  <si>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</si>
  <si>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</si>
  <si>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</si>
  <si>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</si>
  <si>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</si>
  <si>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</si>
  <si>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</si>
  <si>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</si>
  <si>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</si>
  <si>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</si>
  <si>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</si>
  <si>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</si>
  <si>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</si>
  <si>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</si>
  <si>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</si>
  <si>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</si>
  <si>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</si>
  <si>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</si>
  <si>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</si>
  <si>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</si>
  <si>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</si>
  <si>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</si>
  <si>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</si>
  <si>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</si>
  <si>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</si>
  <si>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</si>
  <si>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</si>
  <si>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</si>
  <si>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</si>
  <si>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</si>
  <si>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</si>
  <si>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</si>
  <si>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</si>
  <si>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</si>
  <si>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</si>
  <si>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</si>
  <si>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</si>
  <si>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</si>
  <si>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</si>
  <si>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</si>
  <si>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</si>
  <si>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</si>
  <si>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</si>
  <si>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</si>
  <si>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</si>
  <si>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</si>
  <si>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</si>
  <si>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</si>
  <si>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</si>
  <si>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</si>
  <si>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</si>
  <si>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</si>
  <si>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</si>
  <si>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</si>
  <si>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</si>
  <si>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</si>
  <si>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</si>
  <si>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</si>
  <si>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</si>
  <si>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</si>
  <si>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</si>
  <si>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</si>
  <si>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</si>
  <si>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</si>
  <si>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</si>
  <si>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</si>
  <si>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</si>
  <si>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</si>
  <si>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</si>
  <si>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</si>
  <si>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</si>
  <si>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</si>
  <si>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</si>
  <si>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</si>
  <si>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</si>
  <si>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</si>
  <si>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</si>
  <si>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</si>
  <si>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</si>
  <si>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</si>
  <si>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</si>
  <si>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</si>
  <si>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</si>
  <si>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</si>
  <si>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</si>
  <si>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</si>
  <si>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</si>
  <si>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</si>
  <si>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</si>
  <si>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</si>
  <si>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</si>
  <si>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</si>
  <si>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</si>
  <si>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</si>
  <si>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</si>
  <si>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</si>
  <si>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</si>
  <si>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</si>
  <si>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</si>
  <si>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</si>
  <si>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</si>
  <si>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</si>
  <si>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</si>
  <si>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</si>
  <si>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</si>
  <si>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</si>
  <si>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</si>
  <si>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</si>
  <si>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</si>
  <si>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</si>
  <si>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</si>
  <si>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</si>
  <si>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</si>
  <si>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</si>
  <si>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</si>
  <si>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</si>
  <si>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</si>
  <si>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</si>
  <si>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</si>
  <si>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</si>
  <si>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</si>
  <si>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</si>
  <si>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</si>
  <si>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</si>
  <si>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</si>
  <si>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</si>
  <si>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</si>
  <si>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</si>
  <si>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</si>
  <si>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</si>
  <si>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</si>
  <si>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</si>
  <si>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</si>
  <si>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</si>
  <si>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</si>
  <si>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</si>
  <si>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</si>
  <si>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</si>
  <si>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</si>
  <si>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</si>
  <si>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</si>
  <si>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</si>
  <si>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</si>
  <si>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</si>
  <si>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</si>
  <si>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</si>
  <si>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</si>
  <si>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</si>
  <si>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</si>
  <si>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</si>
  <si>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</si>
  <si>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</si>
  <si>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</si>
  <si>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</si>
  <si>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</si>
  <si>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</si>
  <si>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</si>
  <si>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</si>
  <si>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</si>
  <si>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</si>
  <si>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</si>
  <si>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</si>
  <si>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</si>
  <si>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</si>
  <si>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</si>
  <si>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</si>
  <si>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</si>
  <si>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</si>
  <si>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</si>
  <si>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</si>
  <si>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</si>
  <si>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</si>
  <si>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</si>
  <si>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</si>
  <si>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</si>
  <si>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</si>
  <si>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</si>
  <si>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</si>
  <si>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</si>
  <si>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</si>
  <si>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</si>
  <si>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</si>
  <si>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</si>
  <si>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</si>
  <si>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</si>
  <si>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</si>
  <si>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</si>
  <si>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</si>
  <si>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</si>
  <si>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</si>
  <si>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</si>
  <si>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</si>
  <si>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</si>
  <si>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</si>
  <si>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</si>
  <si>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</si>
  <si>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</si>
  <si>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</si>
  <si>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</si>
  <si>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</si>
  <si>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</si>
  <si>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</si>
  <si>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</si>
  <si>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</si>
  <si>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</si>
  <si>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</si>
  <si>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</si>
  <si>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</si>
  <si>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</si>
  <si>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</si>
  <si>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</si>
  <si>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</si>
  <si>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</si>
  <si>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</si>
  <si>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</si>
  <si>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</si>
  <si>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</si>
  <si>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</si>
  <si>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</si>
  <si>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</si>
  <si>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</si>
  <si>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</si>
  <si>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</si>
  <si>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</si>
  <si>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</si>
  <si>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</si>
  <si>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</si>
  <si>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</si>
  <si>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</si>
  <si>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</si>
  <si>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</si>
  <si>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</si>
  <si>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</si>
  <si>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</si>
  <si>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</si>
  <si>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</si>
  <si>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</si>
  <si>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</si>
  <si>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</si>
  <si>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</si>
  <si>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</si>
  <si>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</si>
  <si>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</si>
  <si>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</si>
  <si>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</si>
  <si>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</si>
  <si>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</si>
  <si>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</si>
  <si>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</si>
  <si>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</si>
  <si>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</si>
  <si>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</si>
  <si>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</si>
  <si>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</si>
  <si>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</si>
  <si>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</si>
  <si>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</si>
  <si>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</si>
  <si>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</si>
  <si>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</si>
  <si>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</si>
  <si>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</si>
  <si>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</si>
  <si>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</si>
  <si>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</si>
  <si>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</si>
  <si>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</si>
  <si>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</si>
  <si>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</si>
  <si>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</si>
  <si>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</si>
  <si>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</si>
  <si>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</si>
  <si>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</si>
  <si>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</si>
  <si>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</si>
  <si>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</si>
  <si>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</si>
  <si>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</si>
  <si>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</si>
  <si>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</si>
  <si>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</si>
  <si>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</si>
  <si>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</si>
  <si>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</si>
  <si>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</si>
  <si>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</si>
  <si>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</si>
  <si>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</si>
  <si>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</si>
  <si>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</si>
  <si>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</si>
  <si>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</si>
  <si>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</si>
  <si>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</si>
  <si>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</si>
  <si>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</si>
  <si>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</si>
  <si>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</si>
  <si>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</si>
  <si>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</si>
  <si>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</si>
  <si>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</si>
  <si>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</si>
  <si>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</si>
  <si>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</si>
  <si>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</si>
  <si>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</si>
  <si>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</si>
  <si>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</si>
  <si>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</si>
  <si>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</si>
  <si>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</si>
  <si>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</si>
  <si>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</si>
  <si>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</si>
  <si>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</si>
  <si>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</si>
  <si>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</si>
  <si>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</si>
  <si>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</si>
  <si>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</si>
  <si>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</si>
  <si>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</si>
  <si>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</si>
  <si>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</si>
  <si>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</si>
  <si>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</si>
  <si>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</si>
  <si>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</si>
  <si>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</si>
  <si>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</si>
  <si>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</si>
  <si>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</si>
  <si>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</si>
  <si>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</si>
  <si>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</si>
  <si>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</si>
  <si>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</si>
  <si>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</si>
  <si>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</si>
  <si>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</si>
  <si>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</si>
  <si>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</si>
  <si>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</si>
  <si>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</si>
  <si>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</si>
  <si>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</si>
  <si>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</si>
  <si>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</si>
  <si>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</si>
  <si>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</si>
  <si>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</si>
  <si>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</si>
  <si>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</si>
  <si>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</si>
  <si>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</si>
  <si>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</si>
  <si>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</si>
  <si>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</si>
  <si>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</si>
  <si>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</si>
  <si>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</si>
  <si>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</si>
  <si>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</si>
  <si>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</si>
  <si>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</si>
  <si>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</si>
  <si>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</si>
  <si>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</si>
  <si>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</si>
  <si>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</si>
  <si>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</si>
  <si>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</si>
  <si>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</si>
  <si>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</si>
  <si>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</si>
  <si>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</si>
  <si>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</si>
  <si>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</si>
  <si>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</si>
  <si>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</si>
  <si>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</si>
  <si>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</si>
  <si>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</si>
  <si>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</si>
  <si>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</si>
  <si>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</si>
  <si>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</si>
  <si>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</si>
  <si>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</si>
  <si>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</si>
  <si>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</si>
  <si>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</si>
  <si>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</si>
  <si>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</si>
  <si>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</si>
  <si>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</si>
  <si>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</si>
  <si>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</si>
  <si>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</si>
  <si>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</si>
  <si>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</si>
  <si>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</si>
  <si>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</si>
  <si>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</si>
  <si>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</si>
  <si>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</si>
  <si>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</si>
  <si>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</si>
  <si>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</si>
  <si>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</si>
  <si>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</si>
  <si>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</si>
  <si>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</si>
  <si>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</si>
  <si>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</si>
  <si>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</si>
  <si>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</si>
  <si>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</si>
  <si>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</si>
  <si>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</si>
  <si>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</si>
  <si>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</si>
  <si>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</si>
  <si>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</si>
  <si>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</si>
  <si>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</si>
  <si>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</si>
  <si>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</si>
  <si>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</si>
  <si>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</si>
  <si>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</si>
  <si>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</si>
  <si>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</si>
  <si>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</si>
  <si>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</si>
  <si>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</si>
  <si>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</si>
  <si>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</si>
  <si>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</si>
  <si>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</si>
  <si>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</si>
  <si>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</si>
  <si>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</si>
  <si>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</si>
  <si>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</si>
  <si>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</si>
  <si>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</si>
  <si>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</si>
  <si>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</si>
  <si>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</si>
  <si>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</si>
  <si>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</si>
  <si>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</si>
  <si>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</si>
  <si>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</si>
  <si>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</si>
  <si>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</si>
  <si>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</si>
  <si>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</si>
  <si>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</si>
  <si>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</si>
  <si>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</si>
  <si>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</si>
  <si>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</si>
  <si>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</si>
  <si>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</si>
  <si>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</si>
  <si>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</si>
  <si>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</si>
  <si>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</si>
  <si>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</si>
  <si>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</si>
  <si>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</si>
  <si>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</si>
  <si>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</si>
  <si>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</si>
  <si>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</si>
  <si>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</si>
  <si>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</si>
  <si>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</si>
  <si>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</si>
  <si>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</si>
  <si>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</si>
  <si>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</si>
  <si>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</si>
  <si>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</si>
  <si>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</si>
  <si>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</si>
  <si>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</si>
  <si>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</si>
  <si>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</si>
  <si>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</si>
  <si>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</si>
  <si>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</si>
  <si>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</si>
  <si>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</si>
  <si>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</si>
  <si>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</si>
  <si>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</si>
  <si>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</si>
  <si>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</si>
  <si>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</si>
  <si>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</si>
  <si>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</si>
  <si>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</si>
  <si>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</si>
  <si>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</si>
  <si>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</si>
  <si>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</si>
  <si>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</si>
  <si>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</si>
  <si>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</si>
  <si>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</si>
  <si>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</si>
  <si>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</si>
  <si>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</si>
  <si>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</si>
  <si>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</si>
  <si>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</si>
  <si>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</si>
  <si>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</si>
  <si>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</si>
  <si>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</si>
  <si>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</si>
  <si>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</si>
  <si>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</si>
  <si>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</si>
  <si>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</si>
  <si>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</si>
  <si>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</si>
  <si>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</si>
  <si>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</si>
  <si>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</si>
  <si>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</si>
  <si>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</si>
  <si>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</si>
  <si>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</si>
  <si>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</si>
  <si>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</si>
  <si>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</si>
  <si>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</si>
  <si>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</si>
  <si>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</si>
  <si>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</si>
  <si>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</si>
  <si>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</si>
  <si>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</si>
  <si>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</si>
  <si>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</si>
  <si>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</si>
  <si>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</si>
  <si>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</si>
  <si>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</si>
  <si>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</si>
  <si>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</si>
  <si>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</si>
  <si>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</si>
  <si>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</si>
  <si>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</si>
  <si>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</si>
  <si>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</si>
  <si>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</si>
  <si>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</si>
  <si>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</si>
  <si>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</si>
  <si>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</si>
  <si>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</si>
  <si>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</si>
  <si>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</si>
  <si>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</si>
  <si>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</si>
  <si>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</si>
  <si>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</si>
  <si>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</si>
  <si>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</si>
  <si>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</si>
  <si>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</si>
  <si>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</si>
  <si>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</si>
  <si>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</si>
  <si>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</si>
  <si>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</si>
  <si>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</si>
  <si>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</si>
  <si>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</si>
  <si>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</si>
  <si>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</si>
  <si>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</si>
  <si>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</si>
  <si>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</si>
  <si>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</si>
  <si>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</si>
  <si>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</si>
  <si>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</si>
  <si>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</si>
  <si>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</si>
  <si>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</si>
  <si>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</si>
  <si>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</si>
  <si>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</si>
  <si>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</si>
  <si>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</si>
  <si>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</si>
  <si>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</si>
  <si>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</si>
  <si>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</si>
  <si>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</si>
  <si>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</si>
  <si>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</si>
  <si>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</si>
  <si>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</si>
  <si>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</si>
  <si>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</si>
  <si>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</si>
  <si>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</si>
  <si>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</si>
  <si>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</si>
  <si>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</si>
  <si>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</si>
  <si>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</si>
  <si>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</si>
  <si>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</si>
  <si>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</si>
  <si>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</si>
  <si>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</si>
  <si>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</si>
  <si>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</si>
  <si>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</si>
  <si>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</si>
  <si>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</si>
  <si>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</si>
  <si>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</si>
  <si>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</si>
  <si>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</si>
  <si>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</si>
  <si>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</si>
  <si>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</si>
  <si>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</si>
  <si>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</si>
  <si>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</si>
  <si>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</si>
  <si>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</si>
  <si>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</si>
  <si>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</si>
  <si>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</si>
  <si>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</si>
  <si>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</si>
  <si>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</si>
  <si>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</si>
  <si>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</si>
  <si>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</si>
  <si>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</si>
  <si>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</si>
  <si>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</si>
  <si>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</si>
  <si>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</si>
  <si>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</si>
  <si>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</si>
  <si>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</si>
  <si>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</si>
  <si>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</si>
  <si>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</si>
  <si>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</si>
  <si>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</si>
  <si>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</si>
  <si>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</si>
  <si>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</si>
  <si>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</si>
  <si>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</si>
  <si>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</si>
  <si>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</si>
  <si>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</si>
  <si>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</si>
  <si>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</si>
  <si>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</si>
  <si>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</si>
  <si>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</si>
  <si>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</si>
  <si>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</si>
  <si>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</si>
  <si>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</si>
  <si>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</si>
  <si>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</si>
  <si>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</si>
  <si>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</si>
  <si>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</si>
  <si>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</si>
  <si>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</si>
  <si>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</si>
  <si>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</si>
  <si>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</si>
  <si>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</si>
  <si>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</si>
  <si>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</si>
  <si>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</si>
  <si>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</si>
  <si>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</si>
  <si>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</si>
  <si>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</si>
  <si>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</si>
  <si>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</si>
  <si>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</si>
  <si>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</si>
  <si>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</si>
  <si>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</si>
  <si>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</si>
  <si>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</si>
  <si>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</si>
  <si>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</si>
  <si>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</si>
  <si>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</si>
  <si>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</si>
  <si>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</si>
  <si>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</si>
  <si>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</si>
  <si>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</si>
  <si>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</si>
  <si>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</si>
  <si>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</si>
  <si>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</si>
  <si>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</si>
  <si>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</si>
  <si>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</si>
  <si>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</si>
  <si>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</si>
  <si>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</si>
  <si>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</si>
  <si>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</si>
  <si>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</si>
  <si>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</si>
  <si>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</si>
  <si>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</si>
  <si>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</si>
  <si>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</si>
  <si>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</si>
  <si>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</si>
  <si>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</si>
  <si>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</si>
  <si>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</si>
  <si>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</si>
  <si>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</si>
  <si>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</si>
  <si>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</si>
  <si>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</si>
  <si>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</si>
  <si>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</si>
  <si>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</si>
  <si>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</si>
  <si>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</si>
  <si>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</si>
  <si>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</si>
  <si>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</si>
  <si>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</si>
  <si>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</si>
  <si>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</si>
  <si>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</si>
  <si>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</si>
  <si>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</si>
  <si>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</si>
  <si>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</si>
  <si>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</si>
  <si>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</si>
  <si>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</si>
  <si>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</si>
  <si>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</si>
  <si>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</si>
  <si>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</si>
  <si>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</si>
  <si>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</si>
  <si>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</si>
  <si>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</si>
  <si>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</si>
  <si>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</si>
  <si>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</si>
  <si>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</si>
  <si>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</si>
  <si>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</si>
  <si>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</si>
  <si>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</si>
  <si>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</si>
  <si>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</si>
  <si>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</si>
  <si>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</si>
  <si>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</si>
  <si>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</si>
  <si>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</si>
  <si>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</si>
  <si>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</si>
  <si>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</si>
  <si>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</si>
  <si>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</si>
  <si>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</si>
  <si>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</si>
  <si>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</si>
  <si>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</si>
  <si>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</si>
  <si>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</si>
  <si>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</si>
  <si>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</si>
  <si>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</si>
  <si>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</si>
  <si>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</si>
  <si>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</si>
  <si>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</si>
  <si>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</si>
  <si>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</si>
  <si>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</si>
  <si>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</si>
  <si>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</si>
  <si>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</si>
  <si>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</si>
  <si>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</si>
  <si>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</si>
  <si>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</si>
  <si>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</si>
  <si>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</si>
  <si>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</si>
  <si>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</si>
  <si>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</si>
  <si>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</si>
  <si>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</si>
  <si>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</si>
  <si>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</si>
  <si>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</si>
  <si>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</si>
  <si>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</si>
  <si>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</si>
  <si>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</si>
  <si>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</si>
  <si>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</si>
  <si>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</si>
  <si>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</si>
  <si>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</si>
  <si>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</si>
  <si>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</si>
  <si>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</si>
  <si>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</si>
  <si>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</si>
  <si>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</si>
  <si>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</si>
  <si>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</si>
  <si>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</si>
  <si>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</si>
  <si>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</si>
  <si>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</si>
  <si>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</si>
  <si>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</si>
  <si>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</si>
  <si>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</si>
  <si>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</si>
  <si>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</si>
  <si>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</si>
  <si>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</si>
  <si>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</si>
  <si>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</si>
  <si>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</si>
  <si>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</si>
  <si>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</si>
  <si>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</si>
  <si>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</si>
  <si>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</si>
  <si>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</si>
  <si>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</si>
  <si>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</si>
  <si>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</si>
  <si>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</si>
  <si>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</si>
  <si>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</si>
  <si>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</si>
  <si>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</si>
  <si>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</si>
  <si>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</si>
  <si>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</si>
  <si>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</si>
  <si>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</si>
  <si>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</si>
  <si>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</si>
  <si>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</si>
  <si>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</si>
  <si>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</si>
  <si>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</si>
  <si>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</si>
  <si>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</si>
  <si>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</si>
  <si>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</si>
  <si>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</si>
  <si>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</si>
  <si>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</si>
  <si>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</si>
  <si>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</si>
  <si>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</si>
  <si>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</si>
  <si>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</si>
  <si>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</si>
  <si>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</si>
  <si>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</si>
  <si>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</si>
  <si>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</si>
  <si>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</si>
  <si>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</si>
  <si>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</si>
  <si>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</si>
  <si>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</si>
  <si>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</si>
  <si>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</si>
  <si>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</si>
  <si>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</si>
  <si>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</si>
  <si>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</si>
  <si>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</si>
  <si>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</si>
  <si>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</si>
  <si>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</si>
  <si>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</si>
  <si>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</si>
  <si>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</si>
  <si>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</si>
  <si>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</si>
  <si>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</si>
  <si>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</si>
  <si>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</si>
  <si>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</si>
  <si>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</si>
  <si>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</si>
  <si>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</si>
  <si>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</si>
  <si>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</si>
  <si>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</si>
  <si>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</si>
  <si>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</si>
  <si>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</si>
  <si>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</si>
  <si>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</si>
  <si>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</si>
  <si>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</si>
  <si>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</si>
  <si>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</si>
  <si>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</si>
  <si>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</si>
  <si>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</si>
  <si>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</si>
  <si>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</si>
  <si>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</si>
  <si>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</si>
  <si>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</si>
  <si>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</si>
  <si>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</si>
  <si>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</si>
  <si>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</si>
  <si>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</si>
  <si>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</si>
  <si>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</si>
  <si>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</si>
  <si>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</si>
  <si>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</si>
  <si>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</si>
  <si>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</si>
  <si>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</si>
  <si>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</si>
  <si>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</si>
  <si>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</si>
  <si>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</si>
  <si>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</si>
  <si>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</si>
  <si>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</si>
  <si>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</si>
  <si>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</si>
  <si>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</si>
  <si>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</si>
  <si>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</si>
  <si>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</si>
  <si>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</si>
  <si>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</si>
  <si>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</si>
  <si>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</si>
  <si>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</si>
  <si>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</si>
  <si>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</si>
  <si>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</si>
  <si>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</si>
  <si>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</si>
  <si>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</si>
  <si>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</si>
  <si>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</si>
  <si>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</si>
  <si>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</si>
  <si>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</si>
  <si>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</si>
  <si>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</si>
  <si>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</si>
  <si>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</si>
  <si>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</si>
  <si>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</si>
  <si>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</si>
  <si>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</si>
  <si>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</si>
  <si>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</si>
  <si>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</si>
  <si>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</si>
  <si>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</si>
  <si>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</si>
  <si>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</si>
  <si>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</si>
  <si>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</si>
  <si>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</si>
  <si>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</si>
  <si>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</si>
  <si>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</si>
  <si>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</si>
  <si>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</si>
  <si>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</si>
  <si>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</si>
  <si>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</si>
  <si>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</si>
  <si>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</si>
  <si>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</si>
  <si>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</si>
  <si>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</si>
  <si>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</si>
  <si>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</si>
  <si>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</si>
  <si>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</si>
  <si>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</si>
  <si>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</si>
  <si>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</si>
  <si>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</si>
  <si>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</si>
  <si>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</si>
  <si>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</si>
  <si>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</si>
  <si>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</si>
  <si>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</si>
  <si>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</si>
  <si>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</si>
  <si>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</si>
  <si>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</si>
  <si>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</si>
  <si>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</si>
  <si>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</si>
  <si>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</si>
  <si>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</si>
  <si>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</si>
  <si>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</si>
  <si>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</si>
  <si>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</si>
  <si>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</si>
  <si>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</si>
  <si>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</si>
  <si>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</si>
  <si>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</si>
  <si>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</si>
  <si>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</si>
  <si>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</si>
  <si>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</si>
  <si>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</si>
  <si>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</si>
  <si>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</si>
  <si>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</si>
  <si>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</si>
  <si>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</si>
  <si>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</si>
  <si>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</si>
  <si>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</si>
  <si>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</si>
  <si>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</si>
  <si>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</si>
  <si>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</si>
  <si>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</si>
  <si>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</si>
  <si>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</si>
  <si>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</si>
  <si>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</si>
  <si>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</si>
  <si>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</si>
  <si>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</si>
  <si>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</si>
  <si>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</si>
  <si>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</si>
  <si>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</si>
  <si>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</si>
  <si>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</si>
  <si>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</si>
  <si>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</si>
  <si>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</si>
  <si>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</si>
  <si>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</si>
  <si>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</si>
  <si>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</si>
  <si>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</si>
  <si>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</si>
  <si>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</si>
  <si>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</si>
  <si>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</si>
  <si>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</si>
  <si>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</si>
  <si>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</si>
  <si>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</si>
  <si>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</si>
  <si>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</si>
  <si>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</si>
  <si>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</si>
  <si>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</si>
  <si>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</si>
  <si>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</si>
  <si>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</si>
  <si>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</si>
  <si>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</si>
  <si>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</si>
  <si>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</si>
  <si>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</si>
  <si>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</si>
  <si>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</si>
  <si>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</si>
  <si>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</si>
  <si>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</si>
  <si>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</si>
  <si>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</si>
  <si>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</si>
  <si>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</si>
  <si>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</si>
  <si>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</si>
  <si>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</si>
  <si>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</si>
  <si>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</si>
  <si>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</si>
  <si>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</si>
  <si>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</si>
  <si>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</si>
  <si>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</si>
  <si>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</si>
  <si>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</si>
  <si>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</si>
  <si>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</si>
  <si>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</si>
  <si>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</si>
  <si>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</si>
  <si>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</si>
  <si>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</si>
  <si>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</si>
  <si>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</si>
  <si>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</si>
  <si>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</si>
  <si>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</si>
  <si>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</si>
  <si>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</si>
  <si>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</si>
  <si>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</si>
  <si>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</si>
  <si>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</si>
  <si>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</si>
  <si>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</si>
  <si>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</si>
  <si>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</si>
  <si>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</si>
  <si>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</si>
  <si>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</si>
  <si>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</si>
  <si>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</si>
  <si>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</si>
  <si>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</si>
  <si>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</si>
  <si>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</si>
  <si>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</si>
  <si>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</si>
  <si>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</si>
  <si>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</si>
  <si>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</si>
  <si>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</si>
  <si>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</si>
  <si>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</si>
  <si>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</si>
  <si>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</si>
  <si>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</si>
  <si>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</si>
  <si>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</si>
  <si>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</si>
  <si>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</si>
  <si>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</si>
  <si>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</si>
  <si>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</si>
  <si>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</si>
  <si>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</si>
  <si>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</si>
  <si>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</si>
  <si>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</si>
  <si>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</si>
  <si>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</si>
  <si>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</si>
  <si>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</si>
  <si>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</si>
  <si>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</si>
  <si>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</si>
  <si>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</si>
  <si>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</si>
  <si>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</si>
  <si>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</si>
  <si>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</si>
  <si>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</si>
  <si>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</si>
  <si>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</si>
  <si>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</si>
  <si>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</si>
  <si>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</si>
  <si>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</si>
  <si>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</si>
  <si>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</si>
  <si>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</si>
  <si>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</si>
  <si>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</si>
  <si>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</si>
  <si>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</si>
  <si>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</si>
  <si>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</si>
  <si>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</si>
  <si>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</si>
  <si>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</si>
  <si>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</si>
  <si>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</si>
  <si>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</si>
  <si>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</si>
  <si>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</si>
  <si>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</si>
  <si>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</si>
  <si>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</si>
  <si>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</si>
  <si>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</si>
  <si>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</si>
  <si>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</si>
  <si>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</si>
  <si>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</si>
  <si>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</si>
  <si>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</si>
  <si>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</si>
  <si>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</si>
  <si>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</si>
  <si>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</si>
  <si>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</si>
  <si>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</si>
  <si>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</si>
  <si>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</si>
  <si>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</si>
  <si>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</si>
  <si>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</si>
  <si>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</si>
  <si>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</si>
  <si>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</si>
  <si>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</si>
  <si>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</si>
  <si>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</si>
  <si>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</si>
  <si>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</si>
  <si>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</si>
  <si>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</si>
  <si>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</si>
  <si>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</si>
  <si>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</si>
  <si>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</si>
  <si>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</si>
  <si>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</si>
  <si>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</si>
  <si>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</si>
  <si>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</si>
  <si>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</si>
  <si>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</si>
  <si>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</si>
  <si>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</si>
  <si>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</si>
  <si>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</si>
  <si>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</si>
  <si>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</si>
  <si>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</si>
  <si>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</si>
  <si>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</si>
  <si>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</si>
  <si>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</si>
  <si>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</si>
  <si>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</si>
  <si>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</si>
  <si>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</si>
  <si>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</si>
  <si>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</si>
  <si>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</si>
  <si>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</si>
  <si>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</si>
  <si>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</si>
  <si>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</si>
  <si>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</si>
  <si>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</si>
  <si>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</si>
  <si>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</si>
  <si>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</si>
  <si>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</si>
  <si>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</si>
  <si>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</si>
  <si>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</si>
  <si>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</si>
  <si>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</si>
  <si>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</si>
  <si>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</si>
  <si>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</si>
  <si>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</si>
  <si>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</si>
  <si>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</si>
  <si>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</si>
  <si>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</si>
  <si>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</si>
  <si>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</si>
  <si>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</si>
  <si>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</si>
  <si>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</si>
  <si>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</si>
  <si>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</si>
  <si>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</si>
  <si>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</si>
  <si>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</si>
  <si>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</si>
  <si>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</si>
  <si>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</si>
  <si>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</si>
  <si>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</si>
  <si>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</si>
  <si>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</si>
  <si>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</si>
  <si>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</si>
  <si>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</si>
  <si>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</si>
  <si>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</si>
  <si>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</si>
  <si>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</si>
  <si>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</si>
  <si>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</si>
  <si>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</si>
  <si>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</si>
  <si>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</si>
  <si>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</si>
  <si>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</si>
  <si>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</si>
  <si>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</si>
  <si>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</si>
  <si>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</si>
  <si>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</si>
  <si>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</si>
  <si>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</si>
  <si>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</si>
  <si>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</si>
  <si>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</si>
  <si>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</si>
  <si>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</si>
  <si>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</si>
  <si>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</si>
  <si>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</si>
  <si>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</si>
  <si>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</si>
  <si>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</si>
  <si>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</si>
  <si>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</si>
  <si>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</si>
  <si>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</si>
  <si>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</si>
  <si>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</si>
  <si>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</si>
  <si>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</si>
  <si>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</si>
  <si>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</si>
  <si>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</si>
  <si>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</si>
  <si>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</si>
  <si>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</si>
  <si>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</si>
  <si>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</si>
  <si>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</si>
  <si>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</si>
  <si>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</si>
  <si>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</si>
  <si>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</si>
  <si>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</si>
  <si>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</si>
  <si>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</si>
  <si>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</si>
  <si>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</si>
  <si>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</si>
  <si>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</si>
  <si>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</si>
  <si>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</si>
  <si>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</si>
  <si>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</si>
  <si>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</si>
  <si>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</si>
  <si>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</si>
  <si>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</si>
  <si>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</si>
  <si>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</si>
  <si>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</si>
  <si>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</si>
  <si>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</si>
  <si>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</si>
  <si>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</si>
  <si>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</si>
  <si>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</si>
  <si>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</si>
  <si>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</si>
  <si>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</si>
  <si>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</si>
  <si>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</si>
  <si>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</si>
  <si>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</si>
  <si>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</si>
  <si>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</si>
  <si>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</si>
  <si>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</si>
  <si>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</si>
  <si>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</si>
  <si>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</si>
  <si>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</si>
  <si>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</si>
  <si>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</si>
  <si>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</si>
  <si>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</si>
  <si>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</si>
  <si>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</si>
  <si>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</si>
  <si>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</si>
  <si>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</si>
  <si>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</si>
  <si>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</si>
  <si>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</si>
  <si>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</si>
  <si>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</si>
  <si>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</si>
  <si>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</si>
  <si>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</si>
  <si>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</si>
  <si>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</si>
  <si>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</si>
  <si>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</si>
  <si>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</si>
  <si>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</si>
  <si>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</si>
  <si>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</si>
  <si>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</si>
  <si>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</si>
  <si>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</si>
  <si>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</si>
  <si>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</si>
  <si>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</si>
  <si>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</si>
  <si>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</si>
  <si>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</si>
  <si>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</si>
  <si>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</si>
  <si>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</si>
  <si>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</si>
  <si>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</si>
  <si>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</si>
  <si>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</si>
  <si>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</si>
  <si>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</si>
  <si>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</si>
  <si>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</si>
  <si>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</si>
  <si>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</si>
  <si>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</si>
  <si>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</si>
  <si>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</si>
  <si>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</si>
  <si>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</si>
  <si>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</si>
  <si>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</si>
  <si>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</si>
  <si>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</si>
  <si>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</si>
  <si>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</si>
  <si>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</si>
  <si>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</si>
  <si>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</si>
  <si>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</si>
  <si>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</si>
  <si>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</si>
  <si>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</si>
  <si>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</si>
  <si>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</si>
  <si>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</si>
  <si>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</si>
  <si>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</si>
  <si>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</si>
  <si>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</si>
  <si>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</si>
  <si>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</si>
  <si>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</si>
  <si>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</si>
  <si>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</si>
  <si>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</si>
  <si>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</si>
  <si>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</si>
  <si>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</si>
  <si>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</si>
  <si>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</si>
  <si>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</si>
  <si>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</si>
  <si>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</si>
  <si>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</si>
  <si>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</si>
  <si>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</si>
  <si>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</si>
  <si>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</si>
  <si>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</si>
  <si>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</si>
  <si>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</si>
  <si>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</si>
  <si>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</si>
  <si>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</si>
  <si>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</si>
  <si>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</si>
  <si>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</si>
  <si>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</si>
  <si>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</si>
  <si>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</si>
  <si>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</si>
  <si>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</si>
  <si>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</si>
  <si>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</si>
  <si>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</si>
  <si>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</si>
  <si>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</si>
  <si>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</si>
  <si>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</si>
  <si>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</si>
  <si>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</si>
  <si>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</si>
  <si>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</si>
  <si>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</si>
  <si>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</si>
  <si>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</si>
  <si>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</si>
  <si>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</si>
  <si>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</si>
  <si>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</si>
  <si>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</si>
  <si>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</si>
  <si>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</si>
  <si>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</si>
  <si>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</si>
  <si>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</si>
  <si>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</si>
  <si>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</si>
  <si>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</si>
  <si>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</si>
  <si>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</si>
  <si>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</si>
  <si>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</si>
  <si>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</si>
  <si>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</si>
  <si>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</si>
  <si>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</si>
  <si>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</si>
  <si>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</si>
  <si>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</si>
  <si>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</si>
  <si>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</si>
  <si>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</si>
  <si>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</si>
  <si>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</si>
  <si>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</si>
  <si>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</si>
  <si>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</si>
  <si>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</si>
  <si>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</si>
  <si>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</si>
  <si>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</si>
  <si>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</si>
  <si>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</si>
  <si>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</si>
  <si>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</si>
  <si>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</si>
  <si>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</si>
  <si>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</si>
  <si>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</si>
  <si>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</si>
  <si>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</si>
  <si>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</si>
  <si>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</si>
  <si>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</si>
  <si>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</si>
  <si>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</si>
  <si>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</si>
  <si>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</si>
  <si>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</si>
  <si>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</si>
  <si>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</si>
  <si>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</si>
  <si>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</si>
  <si>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</si>
  <si>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</si>
  <si>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</si>
  <si>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</si>
  <si>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</si>
  <si>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</si>
  <si>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</si>
  <si>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</si>
  <si>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</si>
  <si>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</si>
  <si>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</si>
  <si>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</si>
  <si>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</si>
  <si>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</si>
  <si>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</si>
  <si>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</si>
  <si>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</si>
  <si>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</si>
  <si>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</si>
  <si>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</si>
  <si>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</si>
  <si>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</si>
  <si>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</si>
  <si>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</si>
  <si>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</si>
  <si>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</si>
  <si>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</si>
  <si>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</si>
  <si>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</si>
  <si>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</si>
  <si>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</si>
  <si>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</si>
  <si>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</si>
  <si>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</si>
  <si>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</si>
  <si>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</si>
  <si>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</si>
  <si>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</si>
  <si>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</si>
  <si>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</si>
  <si>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</si>
  <si>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</si>
  <si>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</si>
  <si>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</si>
  <si>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</si>
  <si>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</si>
  <si>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</si>
  <si>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</si>
  <si>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</si>
  <si>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</si>
  <si>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</si>
  <si>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</si>
  <si>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</si>
  <si>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</si>
  <si>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</si>
  <si>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</si>
  <si>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</si>
  <si>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</si>
  <si>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</si>
  <si>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</si>
  <si>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</si>
  <si>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</si>
  <si>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</si>
  <si>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</si>
  <si>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</si>
  <si>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</si>
  <si>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</si>
  <si>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</si>
  <si>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</si>
  <si>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</si>
  <si>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</si>
  <si>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</si>
  <si>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</si>
  <si>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</si>
  <si>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</si>
  <si>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</si>
  <si>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</si>
  <si>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</si>
  <si>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</si>
  <si>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</si>
  <si>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</si>
  <si>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</si>
  <si>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</si>
  <si>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</si>
  <si>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</si>
  <si>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</si>
  <si>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</si>
  <si>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</si>
  <si>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</si>
  <si>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</si>
  <si>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</si>
  <si>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</si>
  <si>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</si>
  <si>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</si>
  <si>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</si>
  <si>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</si>
  <si>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</si>
  <si>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</si>
  <si>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</si>
  <si>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</si>
  <si>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</si>
  <si>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</si>
  <si>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</si>
  <si>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</si>
  <si>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</si>
  <si>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</si>
  <si>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</si>
  <si>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</si>
  <si>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</si>
  <si>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</si>
  <si>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</si>
  <si>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</si>
  <si>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</si>
  <si>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</si>
  <si>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</si>
  <si>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</si>
  <si>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</si>
  <si>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</si>
  <si>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</si>
  <si>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</si>
  <si>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</si>
  <si>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</si>
  <si>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</si>
  <si>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</si>
  <si>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</si>
  <si>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</si>
  <si>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</si>
  <si>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</si>
  <si>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</si>
  <si>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</si>
  <si>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</si>
  <si>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</si>
  <si>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</si>
  <si>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</si>
  <si>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</si>
  <si>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</si>
  <si>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</si>
  <si>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</si>
  <si>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</si>
  <si>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</si>
  <si>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</si>
  <si>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</si>
  <si>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</si>
  <si>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</si>
  <si>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</si>
  <si>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</si>
  <si>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</si>
  <si>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</si>
  <si>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</si>
  <si>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</si>
  <si>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</si>
  <si>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</si>
  <si>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</si>
  <si>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</si>
  <si>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</si>
  <si>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</si>
  <si>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</si>
  <si>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</si>
  <si>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</si>
  <si>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</si>
  <si>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</si>
  <si>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</si>
  <si>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</si>
  <si>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</si>
  <si>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</si>
  <si>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</si>
  <si>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</si>
  <si>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</si>
  <si>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</si>
  <si>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</si>
  <si>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</si>
  <si>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</si>
  <si>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</si>
  <si>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</si>
  <si>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</si>
  <si>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</si>
  <si>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</si>
  <si>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</si>
  <si>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</si>
  <si>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</si>
  <si>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</si>
  <si>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</si>
  <si>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</si>
  <si>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</si>
  <si>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</si>
  <si>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</si>
  <si>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</si>
  <si>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</si>
  <si>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</si>
  <si>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</si>
  <si>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</si>
  <si>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</si>
  <si>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</si>
  <si>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</si>
  <si>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</si>
  <si>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</si>
  <si>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</si>
  <si>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</si>
  <si>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</si>
  <si>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</si>
  <si>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</si>
  <si>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</si>
  <si>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</si>
  <si>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</si>
  <si>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</si>
  <si>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</si>
  <si>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</si>
  <si>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</si>
  <si>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</si>
  <si>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</si>
  <si>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</si>
  <si>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</si>
  <si>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</si>
  <si>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</si>
  <si>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</si>
  <si>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</si>
  <si>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</si>
  <si>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</si>
  <si>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</si>
  <si>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</si>
  <si>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</si>
  <si>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</si>
  <si>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</si>
  <si>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</si>
  <si>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</si>
  <si>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</si>
  <si>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</si>
  <si>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</si>
  <si>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</si>
  <si>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</si>
  <si>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</si>
  <si>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</si>
  <si>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</si>
  <si>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</si>
  <si>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</si>
  <si>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</si>
  <si>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</si>
  <si>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</si>
  <si>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</si>
  <si>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</si>
  <si>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</si>
  <si>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</si>
  <si>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</si>
  <si>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</si>
  <si>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</si>
  <si>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</si>
  <si>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</si>
  <si>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</si>
  <si>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</si>
  <si>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</si>
  <si>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</si>
  <si>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</si>
  <si>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</si>
  <si>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</si>
  <si>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</si>
  <si>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</si>
  <si>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</si>
  <si>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</si>
  <si>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</si>
  <si>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</si>
  <si>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</si>
  <si>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</si>
  <si>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</si>
  <si>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</si>
  <si>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</si>
  <si>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</si>
  <si>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</si>
  <si>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</si>
  <si>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</si>
  <si>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</si>
  <si>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</si>
  <si>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</si>
  <si>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</si>
  <si>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</si>
  <si>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</si>
  <si>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</si>
  <si>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</si>
  <si>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</si>
  <si>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</si>
  <si>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</si>
  <si>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</si>
  <si>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</si>
  <si>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</si>
  <si>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</si>
  <si>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</si>
  <si>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</si>
  <si>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</si>
  <si>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</si>
  <si>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</si>
  <si>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</si>
  <si>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</si>
  <si>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</si>
  <si>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</si>
  <si>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</si>
  <si>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</si>
  <si>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</si>
  <si>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</si>
  <si>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</si>
  <si>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</si>
  <si>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</si>
  <si>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</si>
  <si>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</si>
  <si>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</si>
  <si>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</si>
  <si>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</si>
  <si>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</si>
  <si>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</si>
  <si>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</si>
  <si>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</si>
  <si>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</si>
  <si>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</si>
  <si>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</si>
  <si>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</si>
  <si>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</si>
  <si>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</si>
  <si>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</si>
  <si>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</si>
  <si>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</si>
  <si>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</si>
  <si>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</si>
  <si>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</si>
  <si>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</si>
  <si>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</si>
  <si>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</si>
  <si>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</si>
  <si>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</si>
  <si>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</si>
  <si>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</si>
  <si>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</si>
  <si>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</si>
  <si>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</si>
  <si>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</si>
  <si>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</si>
  <si>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</si>
  <si>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</si>
  <si>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</si>
  <si>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</si>
  <si>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</si>
  <si>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</si>
  <si>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</si>
  <si>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</si>
  <si>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</si>
  <si>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</si>
  <si>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</si>
  <si>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</si>
  <si>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</si>
  <si>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</si>
  <si>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</si>
  <si>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</si>
  <si>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</si>
  <si>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</si>
  <si>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</si>
  <si>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</si>
  <si>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</si>
  <si>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</si>
  <si>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</si>
  <si>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</si>
  <si>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</si>
  <si>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</si>
  <si>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</si>
  <si>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</si>
  <si>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</si>
  <si>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</si>
  <si>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</si>
  <si>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</si>
  <si>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</si>
  <si>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</si>
  <si>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</si>
  <si>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</si>
  <si>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</si>
  <si>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</si>
  <si>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</si>
  <si>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</si>
  <si>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</si>
  <si>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</si>
  <si>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</si>
  <si>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</si>
  <si>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</si>
  <si>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</si>
  <si>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</si>
  <si>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</si>
  <si>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</si>
  <si>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</si>
  <si>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</si>
  <si>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</si>
  <si>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</si>
  <si>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</si>
  <si>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</si>
  <si>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</si>
  <si>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</si>
  <si>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</si>
  <si>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</si>
  <si>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</si>
  <si>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</si>
  <si>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</si>
  <si>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</si>
  <si>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</si>
  <si>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</si>
  <si>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</si>
  <si>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</si>
  <si>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</si>
  <si>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</si>
  <si>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</si>
  <si>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</si>
  <si>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</si>
  <si>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</si>
  <si>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</si>
  <si>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</si>
  <si>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</si>
  <si>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</si>
  <si>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</si>
  <si>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</si>
  <si>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</si>
  <si>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</si>
  <si>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</si>
  <si>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</si>
  <si>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</si>
  <si>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</si>
  <si>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</si>
  <si>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</si>
  <si>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</si>
  <si>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</si>
  <si>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</si>
  <si>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</si>
  <si>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</si>
  <si>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</si>
  <si>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</si>
  <si>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</si>
  <si>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</si>
  <si>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</si>
  <si>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</si>
  <si>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</si>
  <si>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</si>
  <si>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</si>
  <si>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</si>
  <si>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</si>
  <si>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</si>
  <si>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</si>
  <si>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</si>
  <si>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</si>
  <si>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</si>
  <si>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</si>
  <si>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</si>
  <si>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</si>
  <si>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</si>
  <si>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</si>
  <si>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</si>
  <si>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</si>
  <si>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</si>
  <si>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</si>
  <si>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</si>
  <si>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</si>
  <si>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</si>
  <si>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</si>
  <si>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</si>
  <si>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</si>
  <si>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</si>
  <si>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</si>
  <si>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</si>
  <si>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</si>
  <si>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</si>
  <si>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</si>
  <si>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</si>
  <si>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</si>
  <si>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</si>
  <si>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</si>
  <si>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</si>
  <si>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</si>
  <si>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</si>
  <si>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</si>
  <si>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</si>
  <si>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</si>
  <si>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</si>
  <si>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</si>
  <si>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</si>
  <si>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</si>
  <si>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</si>
  <si>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</si>
  <si>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</si>
  <si>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</si>
  <si>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</si>
  <si>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</si>
  <si>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</si>
  <si>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</si>
  <si>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</si>
  <si>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</si>
  <si>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</si>
  <si>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</si>
  <si>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</si>
  <si>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</si>
  <si>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</si>
  <si>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</si>
  <si>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</si>
  <si>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</si>
  <si>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</si>
  <si>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</si>
  <si>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</si>
  <si>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</si>
  <si>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</si>
  <si>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</si>
  <si>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</si>
  <si>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</si>
  <si>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</si>
  <si>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</si>
  <si>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</si>
  <si>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</si>
  <si>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</si>
  <si>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</si>
  <si>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</si>
  <si>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</si>
  <si>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</si>
  <si>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</si>
  <si>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</si>
  <si>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</si>
  <si>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</si>
  <si>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</si>
  <si>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</si>
  <si>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</si>
  <si>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</si>
  <si>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</si>
  <si>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</si>
  <si>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</si>
  <si>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</si>
  <si>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</si>
  <si>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</si>
  <si>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</si>
  <si>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</si>
  <si>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</si>
  <si>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</si>
  <si>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</si>
  <si>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</si>
  <si>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</si>
  <si>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</si>
  <si>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</si>
  <si>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</si>
  <si>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</si>
  <si>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</si>
  <si>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</si>
  <si>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</si>
  <si>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</si>
  <si>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</si>
  <si>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</si>
  <si>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</si>
  <si>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</si>
  <si>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</si>
  <si>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</si>
  <si>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</si>
  <si>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</si>
  <si>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</si>
  <si>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</si>
  <si>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</si>
  <si>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</si>
  <si>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</si>
  <si>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</si>
  <si>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</si>
  <si>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</si>
  <si>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</si>
  <si>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</si>
  <si>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</si>
  <si>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</si>
  <si>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</si>
  <si>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</si>
  <si>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</si>
  <si>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</si>
  <si>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</si>
  <si>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</si>
  <si>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</si>
  <si>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</si>
  <si>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</si>
  <si>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</si>
  <si>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</si>
  <si>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</si>
  <si>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</si>
  <si>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</si>
  <si>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</si>
  <si>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</si>
  <si>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</si>
  <si>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</si>
  <si>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</si>
  <si>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</si>
  <si>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</si>
  <si>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</si>
  <si>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</si>
  <si>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</si>
  <si>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</si>
  <si>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</si>
  <si>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</si>
  <si>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</si>
  <si>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</si>
  <si>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</si>
  <si>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</si>
  <si>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</si>
  <si>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</si>
  <si>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</si>
  <si>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</si>
  <si>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</si>
  <si>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</si>
  <si>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</si>
  <si>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</si>
  <si>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</si>
  <si>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</si>
  <si>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</si>
  <si>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</si>
  <si>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</si>
  <si>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</si>
  <si>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</si>
  <si>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</si>
  <si>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</si>
  <si>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</si>
  <si>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</si>
  <si>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</si>
  <si>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</si>
  <si>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</si>
  <si>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</si>
  <si>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</si>
  <si>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</si>
  <si>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</si>
  <si>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</si>
  <si>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</si>
  <si>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</si>
  <si>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</si>
  <si>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</si>
  <si>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</si>
  <si>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</si>
  <si>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</si>
  <si>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</si>
  <si>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</si>
  <si>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</si>
  <si>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</si>
  <si>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</si>
  <si>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</si>
  <si>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</si>
  <si>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</si>
  <si>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</si>
  <si>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</si>
  <si>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Pisa (elox.) </t>
  </si>
  <si>
    <t xml:space="preserve">Pisa Czarny matowy </t>
  </si>
  <si>
    <t xml:space="preserve">Vivaro złota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</si>
  <si>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</si>
  <si>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</si>
  <si>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</si>
  <si>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</si>
  <si>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</si>
  <si>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</si>
  <si>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Rocca czarny matowy </t>
  </si>
  <si>
    <t xml:space="preserve">Vivaro (elox.) </t>
  </si>
  <si>
    <t xml:space="preserve">Vivaro czarny matowy </t>
  </si>
  <si>
    <t xml:space="preserve">Imola złota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</si>
  <si>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</si>
  <si>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</si>
  <si>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</si>
  <si>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</si>
  <si>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</si>
  <si>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</si>
  <si>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</si>
  <si>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</si>
  <si>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</si>
  <si>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</si>
  <si>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</si>
  <si>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</si>
  <si>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</si>
  <si>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</si>
  <si>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</si>
  <si>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</si>
  <si>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</si>
  <si>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</si>
  <si>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</si>
  <si>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</si>
  <si>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</si>
  <si>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</si>
  <si>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</si>
  <si>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</si>
  <si>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</si>
  <si>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</si>
  <si>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</si>
  <si>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</si>
  <si>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</si>
  <si>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</si>
  <si>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</si>
  <si>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</si>
  <si>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</si>
  <si>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</si>
  <si>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</si>
  <si>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</si>
  <si>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</si>
  <si>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</si>
  <si>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</si>
  <si>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</si>
  <si>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</si>
  <si>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</si>
  <si>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</si>
  <si>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</si>
  <si>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</si>
  <si>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</si>
  <si>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</si>
  <si>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</si>
  <si>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</si>
  <si>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</si>
  <si>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</si>
  <si>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</si>
  <si>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</si>
  <si>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</si>
  <si>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</si>
  <si>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</si>
  <si>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</si>
  <si>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</si>
  <si>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</si>
  <si>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</si>
  <si>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</si>
  <si>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</si>
  <si>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</si>
  <si>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</si>
  <si>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</si>
  <si>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</si>
  <si>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</si>
  <si>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</si>
  <si>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</si>
  <si>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</si>
  <si>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</si>
  <si>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</si>
  <si>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</si>
  <si>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</si>
  <si>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</si>
  <si>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</si>
  <si>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</si>
  <si>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</si>
  <si>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</si>
  <si>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</si>
  <si>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</si>
  <si>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</si>
  <si>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</si>
  <si>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</si>
  <si>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</si>
  <si>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</si>
  <si>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</si>
  <si>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</si>
  <si>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</si>
  <si>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</si>
  <si>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</si>
  <si>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</si>
  <si>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</si>
  <si>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</si>
  <si>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</si>
  <si>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</si>
  <si>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</si>
  <si>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</si>
  <si>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</si>
  <si>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</si>
  <si>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</si>
  <si>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</si>
  <si>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</si>
  <si>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</si>
  <si>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</si>
  <si>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</si>
  <si>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</si>
  <si>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</si>
  <si>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</si>
  <si>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</si>
  <si>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</si>
  <si>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</si>
  <si>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</si>
  <si>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</si>
  <si>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</si>
  <si>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</si>
  <si>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</si>
  <si>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</si>
  <si>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</si>
  <si>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</si>
  <si>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</si>
  <si>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</si>
  <si>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</si>
  <si>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</si>
  <si>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</si>
  <si>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</si>
  <si>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</si>
  <si>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</si>
  <si>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</si>
  <si>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</si>
  <si>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</si>
  <si>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</si>
  <si>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</si>
  <si>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</si>
  <si>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</si>
  <si>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</si>
  <si>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</si>
  <si>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</si>
  <si>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</si>
  <si>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</si>
  <si>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</si>
  <si>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</si>
  <si>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</si>
  <si>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</si>
  <si>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</si>
  <si>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</si>
  <si>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</si>
  <si>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</si>
  <si>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</si>
  <si>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</si>
  <si>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</si>
  <si>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</si>
  <si>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</si>
  <si>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</si>
  <si>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</si>
  <si>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</si>
  <si>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</si>
  <si>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</si>
  <si>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</si>
  <si>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</si>
  <si>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</si>
  <si>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</si>
  <si>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</si>
  <si>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</si>
  <si>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</si>
  <si>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</si>
  <si>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</si>
  <si>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</si>
  <si>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</si>
  <si>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</si>
  <si>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</si>
  <si>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</si>
  <si>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</si>
  <si>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</si>
  <si>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</si>
  <si>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</si>
  <si>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</si>
  <si>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</si>
  <si>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</si>
  <si>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</si>
  <si>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</si>
  <si>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</si>
  <si>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</si>
  <si>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</si>
  <si>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</si>
  <si>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</si>
  <si>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</si>
  <si>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</si>
  <si>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</si>
  <si>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</si>
  <si>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</si>
  <si>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</si>
  <si>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</si>
  <si>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</si>
  <si>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</si>
  <si>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</si>
  <si>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</si>
  <si>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</si>
  <si>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</si>
  <si>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</si>
  <si>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</si>
  <si>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</si>
  <si>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</si>
  <si>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</si>
  <si>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</si>
  <si>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</si>
  <si>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</si>
  <si>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</si>
  <si>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</si>
  <si>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</si>
  <si>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</si>
  <si>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</si>
  <si>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</si>
  <si>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</si>
  <si>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</si>
  <si>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</si>
  <si>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</si>
  <si>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</si>
  <si>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</si>
  <si>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</si>
  <si>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</si>
  <si>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</si>
  <si>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</si>
  <si>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</si>
  <si>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</si>
  <si>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</si>
  <si>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</si>
  <si>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</si>
  <si>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</si>
  <si>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</si>
  <si>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</si>
  <si>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</si>
  <si>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</si>
  <si>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</si>
  <si>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</si>
  <si>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</si>
  <si>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</si>
  <si>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</si>
  <si>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</si>
  <si>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</si>
  <si>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</si>
  <si>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</si>
  <si>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</si>
  <si>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</si>
  <si>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</si>
  <si>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</si>
  <si>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</si>
  <si>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</si>
  <si>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</si>
  <si>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</si>
  <si>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</si>
  <si>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</si>
  <si>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</si>
  <si>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</si>
  <si>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</si>
  <si>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</si>
  <si>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</si>
  <si>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</si>
  <si>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</si>
  <si>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</si>
  <si>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</si>
  <si>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</si>
  <si>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</si>
  <si>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</si>
  <si>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</si>
  <si>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</si>
  <si>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</si>
  <si>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</si>
  <si>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</si>
  <si>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</si>
  <si>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</si>
  <si>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</si>
  <si>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</si>
  <si>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</si>
  <si>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</si>
  <si>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</si>
  <si>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</si>
  <si>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</si>
  <si>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</si>
  <si>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</si>
  <si>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</si>
  <si>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</si>
  <si>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</si>
  <si>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</si>
  <si>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</si>
  <si>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</si>
  <si>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</si>
  <si>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</si>
  <si>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</si>
  <si>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</si>
  <si>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</si>
  <si>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</si>
  <si>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</si>
  <si>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</si>
  <si>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</si>
  <si>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</si>
  <si>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</si>
  <si>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</si>
  <si>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</si>
  <si>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</si>
  <si>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</si>
  <si>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</si>
  <si>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</si>
  <si>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</si>
  <si>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</si>
  <si>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</si>
  <si>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</si>
  <si>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</si>
  <si>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</si>
  <si>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</si>
  <si>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</si>
  <si>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</si>
  <si>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</si>
  <si>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</si>
  <si>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</si>
  <si>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</si>
  <si>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</si>
  <si>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</si>
  <si>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</si>
  <si>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</si>
  <si>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</si>
  <si>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</si>
  <si>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</si>
  <si>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</si>
  <si>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</si>
  <si>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</si>
  <si>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</si>
  <si>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</si>
  <si>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</si>
  <si>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</si>
  <si>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</si>
  <si>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</si>
  <si>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</si>
  <si>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</si>
  <si>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</si>
  <si>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</si>
  <si>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</si>
  <si>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</si>
  <si>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</si>
  <si>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</si>
  <si>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</si>
  <si>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</si>
  <si>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</si>
  <si>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</si>
  <si>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</si>
  <si>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</si>
  <si>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</si>
  <si>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</si>
  <si>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</si>
  <si>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</si>
  <si>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</si>
  <si>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</si>
  <si>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</si>
  <si>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</si>
  <si>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</si>
  <si>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</si>
  <si>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</si>
  <si>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</si>
  <si>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</si>
  <si>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</si>
  <si>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</si>
  <si>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</si>
  <si>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</si>
  <si>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</si>
  <si>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</si>
  <si>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</si>
  <si>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</si>
  <si>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</si>
  <si>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</si>
  <si>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</si>
  <si>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</si>
  <si>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</si>
  <si>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</si>
  <si>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</si>
  <si>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</si>
  <si>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</si>
  <si>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</si>
  <si>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</si>
  <si>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</si>
  <si>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</si>
  <si>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</si>
  <si>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</si>
  <si>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</si>
  <si>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</si>
  <si>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</si>
  <si>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</si>
  <si>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</si>
  <si>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</si>
  <si>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</si>
  <si>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</si>
  <si>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</si>
  <si>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</si>
  <si>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</si>
  <si>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</si>
  <si>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</si>
  <si>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</si>
  <si>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</si>
  <si>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</si>
  <si>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</si>
  <si>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</si>
  <si>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</si>
  <si>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</si>
  <si>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</si>
  <si>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</si>
  <si>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</si>
  <si>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</si>
  <si>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</si>
  <si>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</si>
  <si>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</si>
  <si>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</si>
  <si>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</si>
  <si>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</si>
  <si>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</si>
  <si>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</si>
  <si>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</si>
  <si>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</si>
  <si>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</si>
  <si>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</si>
  <si>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</si>
  <si>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</si>
  <si>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</si>
  <si>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</si>
  <si>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</si>
  <si>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</si>
  <si>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</si>
  <si>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</si>
  <si>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</si>
  <si>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</si>
  <si>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</si>
  <si>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</si>
  <si>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</si>
  <si>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</si>
  <si>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</si>
  <si>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</si>
  <si>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</si>
  <si>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</si>
  <si>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</si>
  <si>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</si>
  <si>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</si>
  <si>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</si>
  <si>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</si>
  <si>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</si>
  <si>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</si>
  <si>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</si>
  <si>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</si>
  <si>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</si>
  <si>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</si>
  <si>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</si>
  <si>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</si>
  <si>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</si>
  <si>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</si>
  <si>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</si>
  <si>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</si>
  <si>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</si>
  <si>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</si>
  <si>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</si>
  <si>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</si>
  <si>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</si>
  <si>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</si>
  <si>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</si>
  <si>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</si>
  <si>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</si>
  <si>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</si>
  <si>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</si>
  <si>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</si>
  <si>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</si>
  <si>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</si>
  <si>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</si>
  <si>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</si>
  <si>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</si>
  <si>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</si>
  <si>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</si>
  <si>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</si>
  <si>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</si>
  <si>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</si>
  <si>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</si>
  <si>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</si>
  <si>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</si>
  <si>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</si>
  <si>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</si>
  <si>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</si>
  <si>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</si>
  <si>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</si>
  <si>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</si>
  <si>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</si>
  <si>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</si>
  <si>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</si>
  <si>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</si>
  <si>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</si>
  <si>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</si>
  <si>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</si>
  <si>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</si>
  <si>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</si>
  <si>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</si>
  <si>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</si>
  <si>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</si>
  <si>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</si>
  <si>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</si>
  <si>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</si>
  <si>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</si>
  <si>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</si>
  <si>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</si>
  <si>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</si>
  <si>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</si>
  <si>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</si>
  <si>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</si>
  <si>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</si>
  <si>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</si>
  <si>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</si>
  <si>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</si>
  <si>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</si>
  <si>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</si>
  <si>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</si>
  <si>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</si>
  <si>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</si>
  <si>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</si>
  <si>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</si>
  <si>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</si>
  <si>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</si>
  <si>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</si>
  <si>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</si>
  <si>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</si>
  <si>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</si>
  <si>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</si>
  <si>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</si>
  <si>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</si>
  <si>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</si>
  <si>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</si>
  <si>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</si>
  <si>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</si>
  <si>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</si>
  <si>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</si>
  <si>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</si>
  <si>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</si>
  <si>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</si>
  <si>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</si>
  <si>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</si>
  <si>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</si>
  <si>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</si>
  <si>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</si>
  <si>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</si>
  <si>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</si>
  <si>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</si>
  <si>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</si>
  <si>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</si>
  <si>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</si>
  <si>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</si>
  <si>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</si>
  <si>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</si>
  <si>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</si>
  <si>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</si>
  <si>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</si>
  <si>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</si>
  <si>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</si>
  <si>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</si>
  <si>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</si>
  <si>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</si>
  <si>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</si>
  <si>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</si>
  <si>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</si>
  <si>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</si>
  <si>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</si>
  <si>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</si>
  <si>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</si>
  <si>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</si>
  <si>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</si>
  <si>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</si>
  <si>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</si>
  <si>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</si>
  <si>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</si>
  <si>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</si>
  <si>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</si>
  <si>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</si>
  <si>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</si>
  <si>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</si>
  <si>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</si>
  <si>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</si>
  <si>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</si>
  <si>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</si>
  <si>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</si>
  <si>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</si>
  <si>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</si>
  <si>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</si>
  <si>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</si>
  <si>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</si>
  <si>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</si>
  <si>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</si>
  <si>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</si>
  <si>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</si>
  <si>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</si>
  <si>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</si>
  <si>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</si>
  <si>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</si>
  <si>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</si>
  <si>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</si>
  <si>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</si>
  <si>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</si>
  <si>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</si>
  <si>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</si>
  <si>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</si>
  <si>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</si>
  <si>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</si>
  <si>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</si>
  <si>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</si>
  <si>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</si>
  <si>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</si>
  <si>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</si>
  <si>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</si>
  <si>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</si>
  <si>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</si>
  <si>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</si>
  <si>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</si>
  <si>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</si>
  <si>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</si>
  <si>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</si>
  <si>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</si>
  <si>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</si>
  <si>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</si>
  <si>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</si>
  <si>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</si>
  <si>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</si>
  <si>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</si>
  <si>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</si>
  <si>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</si>
  <si>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</si>
  <si>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</si>
  <si>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</si>
  <si>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</si>
  <si>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</si>
  <si>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</si>
  <si>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</si>
  <si>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</si>
  <si>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</si>
  <si>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</si>
  <si>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Verona inox foncé brossé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</si>
  <si>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</si>
  <si>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</si>
  <si>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</si>
  <si>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</si>
  <si>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</si>
  <si>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</si>
  <si>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</si>
  <si>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</si>
  <si>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</si>
  <si>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</si>
  <si>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</si>
  <si>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</si>
  <si>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</si>
  <si>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</si>
  <si>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</si>
  <si>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</si>
  <si>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</si>
  <si>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</si>
  <si>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</si>
  <si>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</si>
  <si>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</si>
  <si>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</si>
  <si>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</si>
  <si>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</si>
  <si>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</si>
  <si>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</si>
  <si>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</si>
  <si>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</si>
  <si>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</si>
  <si>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</si>
  <si>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</si>
  <si>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</si>
  <si>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</si>
  <si>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</si>
  <si>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</si>
  <si>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</si>
  <si>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</si>
  <si>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</si>
  <si>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</si>
  <si>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</si>
  <si>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</si>
  <si>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</si>
  <si>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</si>
  <si>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</si>
  <si>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</si>
  <si>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</si>
  <si>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</si>
  <si>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</si>
  <si>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</si>
  <si>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</si>
  <si>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</si>
  <si>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</si>
  <si>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</si>
  <si>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</si>
  <si>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</si>
  <si>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</si>
  <si>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</si>
  <si>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</si>
  <si>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</si>
  <si>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</si>
  <si>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</si>
  <si>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</si>
  <si>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</si>
  <si>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</si>
  <si>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</si>
  <si>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</si>
  <si>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</si>
  <si>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</si>
  <si>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</si>
  <si>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</si>
  <si>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</si>
  <si>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</si>
  <si>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</si>
  <si>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</si>
  <si>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</si>
  <si>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</si>
  <si>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</si>
  <si>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</si>
  <si>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</si>
  <si>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</si>
  <si>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</si>
  <si>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</si>
  <si>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</si>
  <si>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</si>
  <si>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</si>
  <si>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</si>
  <si>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</si>
  <si>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</si>
  <si>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</si>
  <si>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</si>
  <si>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</si>
  <si>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</si>
  <si>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</si>
  <si>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</si>
  <si>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</si>
  <si>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</si>
  <si>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</si>
  <si>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</si>
  <si>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</si>
  <si>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</si>
  <si>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</si>
  <si>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</si>
  <si>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</si>
  <si>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</si>
  <si>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</si>
  <si>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</si>
  <si>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</si>
  <si>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</si>
  <si>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</si>
  <si>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</si>
  <si>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</si>
  <si>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</si>
  <si>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</si>
  <si>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</si>
  <si>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</si>
  <si>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</si>
  <si>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</si>
  <si>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</si>
  <si>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</si>
  <si>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</si>
  <si>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</si>
  <si>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</si>
  <si>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</si>
  <si>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</si>
  <si>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</si>
  <si>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</si>
  <si>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</si>
  <si>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</si>
  <si>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</si>
  <si>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</si>
  <si>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</si>
  <si>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</si>
  <si>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</si>
  <si>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</si>
  <si>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</si>
  <si>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</si>
  <si>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</si>
  <si>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</si>
  <si>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</si>
  <si>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</si>
  <si>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</si>
  <si>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</si>
  <si>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</si>
  <si>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</si>
  <si>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</si>
  <si>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</si>
  <si>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</si>
  <si>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</si>
  <si>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</si>
  <si>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</si>
  <si>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</si>
  <si>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</si>
  <si>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</si>
  <si>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</si>
  <si>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</si>
  <si>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</si>
  <si>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</si>
  <si>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</si>
  <si>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</si>
  <si>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</si>
  <si>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</si>
  <si>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</si>
  <si>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</si>
  <si>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</si>
  <si>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</si>
  <si>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</si>
  <si>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</si>
  <si>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</si>
  <si>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</si>
  <si>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</si>
  <si>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</si>
  <si>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</si>
  <si>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</si>
  <si>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</si>
  <si>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</si>
  <si>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</si>
  <si>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</si>
  <si>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</si>
  <si>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</si>
  <si>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</si>
  <si>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</si>
  <si>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</si>
  <si>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</si>
  <si>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</si>
  <si>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</si>
  <si>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</si>
  <si>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</si>
  <si>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</si>
  <si>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</si>
  <si>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</si>
  <si>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</si>
  <si>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</si>
  <si>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</si>
  <si>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</si>
  <si>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</si>
  <si>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</si>
  <si>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</si>
  <si>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</si>
  <si>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</si>
  <si>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</si>
  <si>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</si>
  <si>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</si>
  <si>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</si>
  <si>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</si>
  <si>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</si>
  <si>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</si>
  <si>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</si>
  <si>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</si>
  <si>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</si>
  <si>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</si>
  <si>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</si>
  <si>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</si>
  <si>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</si>
  <si>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</si>
  <si>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</si>
  <si>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</si>
  <si>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</si>
  <si>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</si>
  <si>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</si>
  <si>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</si>
  <si>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</si>
  <si>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</si>
  <si>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</si>
  <si>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</si>
  <si>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</si>
  <si>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</si>
  <si>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</si>
  <si>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</si>
  <si>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</si>
  <si>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</si>
  <si>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</si>
  <si>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</si>
  <si>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</si>
  <si>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</si>
  <si>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</si>
  <si>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</si>
  <si>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</si>
  <si>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</si>
  <si>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</si>
  <si>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</si>
  <si>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</si>
  <si>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</si>
  <si>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</si>
  <si>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</si>
  <si>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</si>
  <si>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</si>
  <si>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</si>
  <si>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</si>
  <si>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</si>
  <si>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</si>
  <si>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</si>
  <si>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</si>
  <si>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</si>
  <si>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</si>
  <si>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</si>
  <si>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</si>
  <si>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</si>
  <si>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</si>
  <si>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</si>
  <si>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</si>
  <si>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</si>
  <si>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</si>
  <si>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</si>
  <si>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</si>
  <si>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</si>
  <si>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</si>
  <si>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</si>
  <si>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</si>
  <si>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</si>
  <si>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</si>
  <si>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</si>
  <si>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</si>
  <si>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</si>
  <si>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</si>
  <si>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</si>
  <si>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</si>
  <si>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</si>
  <si>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</si>
  <si>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</si>
  <si>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</si>
  <si>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</si>
  <si>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</si>
  <si>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</si>
  <si>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</si>
  <si>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</si>
  <si>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</si>
  <si>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</si>
  <si>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</si>
  <si>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</si>
  <si>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</si>
  <si>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</si>
  <si>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</si>
  <si>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</si>
  <si>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</si>
  <si>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</si>
  <si>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</si>
  <si>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</si>
  <si>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</si>
  <si>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</si>
  <si>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</si>
  <si>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</si>
  <si>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</si>
  <si>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</si>
  <si>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</si>
  <si>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</si>
  <si>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</si>
  <si>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</si>
  <si>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</si>
  <si>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</si>
  <si>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</si>
  <si>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</si>
  <si>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</si>
  <si>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</si>
  <si>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</si>
  <si>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</si>
  <si>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</si>
  <si>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</si>
  <si>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</si>
  <si>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</si>
  <si>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</si>
  <si>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</si>
  <si>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</si>
  <si>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</si>
  <si>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</si>
  <si>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</si>
  <si>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</si>
  <si>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</si>
  <si>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</si>
  <si>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</si>
  <si>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</si>
  <si>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</si>
  <si>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</si>
  <si>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</si>
  <si>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</si>
  <si>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</si>
  <si>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</si>
  <si>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</si>
  <si>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</si>
  <si>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</si>
  <si>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</si>
  <si>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</si>
  <si>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</si>
  <si>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</si>
  <si>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</si>
  <si>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</si>
  <si>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</si>
  <si>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</si>
  <si>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</si>
  <si>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</si>
  <si>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</si>
  <si>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</si>
  <si>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</si>
  <si>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</si>
  <si>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</si>
  <si>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</si>
  <si>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</si>
  <si>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</si>
  <si>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</si>
  <si>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</si>
  <si>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</si>
  <si>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</si>
  <si>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</si>
  <si>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</si>
  <si>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</si>
  <si>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</si>
  <si>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</si>
  <si>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</si>
  <si>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</si>
  <si>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</si>
  <si>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</si>
  <si>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</si>
  <si>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</si>
  <si>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</si>
  <si>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</si>
  <si>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</si>
  <si>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</si>
  <si>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</si>
  <si>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</si>
  <si>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</si>
  <si>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</si>
  <si>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</si>
  <si>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</si>
  <si>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</si>
  <si>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</si>
  <si>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</si>
  <si>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</si>
  <si>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</si>
  <si>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</si>
  <si>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</si>
  <si>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</si>
  <si>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</si>
  <si>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</si>
  <si>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</si>
  <si>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</si>
  <si>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</si>
  <si>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</si>
  <si>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</si>
  <si>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</si>
  <si>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</si>
  <si>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</si>
  <si>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</si>
  <si>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</si>
  <si>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</si>
  <si>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</si>
  <si>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</si>
  <si>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</si>
  <si>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</si>
  <si>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</si>
  <si>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</si>
  <si>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</si>
  <si>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</si>
  <si>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</si>
  <si>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</si>
  <si>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</si>
  <si>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</si>
  <si>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</si>
  <si>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</si>
  <si>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</si>
  <si>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</si>
  <si>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</si>
  <si>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</si>
  <si>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</si>
  <si>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</si>
  <si>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</si>
  <si>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</si>
  <si>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</si>
  <si>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</si>
  <si>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</si>
  <si>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</si>
  <si>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</si>
  <si>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</si>
  <si>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</si>
  <si>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</si>
  <si>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</si>
  <si>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</si>
  <si>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</si>
  <si>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</si>
  <si>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</si>
  <si>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</si>
  <si>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</si>
  <si>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</si>
  <si>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</si>
  <si>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</si>
  <si>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</si>
  <si>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</si>
  <si>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</si>
  <si>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</si>
  <si>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</si>
  <si>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</si>
  <si>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</si>
  <si>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</si>
  <si>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</si>
  <si>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</si>
  <si>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</si>
  <si>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</si>
  <si>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</si>
  <si>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</si>
  <si>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</si>
  <si>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</si>
  <si>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</si>
  <si>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</si>
  <si>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</si>
  <si>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</si>
  <si>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</si>
  <si>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</si>
  <si>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</si>
  <si>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</si>
  <si>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</si>
  <si>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</si>
  <si>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</si>
  <si>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</si>
  <si>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</si>
  <si>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</si>
  <si>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</si>
  <si>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</si>
  <si>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</si>
  <si>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</si>
  <si>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</si>
  <si>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</si>
  <si>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</si>
  <si>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</si>
  <si>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</si>
  <si>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</si>
  <si>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</si>
  <si>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</si>
  <si>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</si>
  <si>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</si>
  <si>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</si>
  <si>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</si>
  <si>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</si>
  <si>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</si>
  <si>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</si>
  <si>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</si>
  <si>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</si>
  <si>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</si>
  <si>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</si>
  <si>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</si>
  <si>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</si>
  <si>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</si>
  <si>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</si>
  <si>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</si>
  <si>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</si>
  <si>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</si>
  <si>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</si>
  <si>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</si>
  <si>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</si>
  <si>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</si>
  <si>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</si>
  <si>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</si>
  <si>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</si>
  <si>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</si>
  <si>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</si>
  <si>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</si>
  <si>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</si>
  <si>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</si>
  <si>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</si>
  <si>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</si>
  <si>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</si>
  <si>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</si>
  <si>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</si>
  <si>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</si>
  <si>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</si>
  <si>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</si>
  <si>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</si>
  <si>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</si>
  <si>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</si>
  <si>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</si>
  <si>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</si>
  <si>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</si>
  <si>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</si>
  <si>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</si>
  <si>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</si>
  <si>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</si>
  <si>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</si>
  <si>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</si>
  <si>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</si>
  <si>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</si>
  <si>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</si>
  <si>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</si>
  <si>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</si>
  <si>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</si>
  <si>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</si>
  <si>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</si>
  <si>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</si>
  <si>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</si>
  <si>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</si>
  <si>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</si>
  <si>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</si>
  <si>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</si>
  <si>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</si>
  <si>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</si>
  <si>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</si>
  <si>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</si>
  <si>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</si>
  <si>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</si>
  <si>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</si>
  <si>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</si>
  <si>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</si>
  <si>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</si>
  <si>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</si>
  <si>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</si>
  <si>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</si>
  <si>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</si>
  <si>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</si>
  <si>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</si>
  <si>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</si>
  <si>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</si>
  <si>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</si>
  <si>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</si>
  <si>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</si>
  <si>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</si>
  <si>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</si>
  <si>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</si>
  <si>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</si>
  <si>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</si>
  <si>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</si>
  <si>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</si>
  <si>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</si>
  <si>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</si>
  <si>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</si>
  <si>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</si>
  <si>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</si>
  <si>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</si>
  <si>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</si>
  <si>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</si>
  <si>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</si>
  <si>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</si>
  <si>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</si>
  <si>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</si>
  <si>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</si>
  <si>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</si>
  <si>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</si>
  <si>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</si>
  <si>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</si>
  <si>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</si>
  <si>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</si>
  <si>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</si>
  <si>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</si>
  <si>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</si>
  <si>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</si>
  <si>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</si>
  <si>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</si>
  <si>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</si>
  <si>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</si>
  <si>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</si>
  <si>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</si>
  <si>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</si>
  <si>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</si>
  <si>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</si>
  <si>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</si>
  <si>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</si>
  <si>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</si>
  <si>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</si>
  <si>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</si>
  <si>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</si>
  <si>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</si>
  <si>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</si>
  <si>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</si>
  <si>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</si>
  <si>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</si>
  <si>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</si>
  <si>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</si>
  <si>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</si>
  <si>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</si>
  <si>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</si>
  <si>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</si>
  <si>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</si>
  <si>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</si>
  <si>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</si>
  <si>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</si>
  <si>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</si>
  <si>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</si>
  <si>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</si>
  <si>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</si>
  <si>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</si>
  <si>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</si>
  <si>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</si>
  <si>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</si>
  <si>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</si>
  <si>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</si>
  <si>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</si>
  <si>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</si>
  <si>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</si>
  <si>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</si>
  <si>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</si>
  <si>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</si>
  <si>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</si>
  <si>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</si>
  <si>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</si>
  <si>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</si>
  <si>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</si>
  <si>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</si>
  <si>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</si>
  <si>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</si>
  <si>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</si>
  <si>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</si>
  <si>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</si>
  <si>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</si>
  <si>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</si>
  <si>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</si>
  <si>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</si>
  <si>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</si>
  <si>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</si>
  <si>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</si>
  <si>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</si>
  <si>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</si>
  <si>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</si>
  <si>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</si>
  <si>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</si>
  <si>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</si>
  <si>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</si>
  <si>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</si>
  <si>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</si>
  <si>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</si>
  <si>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</si>
  <si>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</si>
  <si>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</si>
  <si>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</si>
  <si>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</si>
  <si>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</si>
  <si>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</si>
  <si>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</si>
  <si>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</si>
  <si>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</si>
  <si>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</si>
  <si>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</si>
  <si>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</si>
  <si>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</si>
  <si>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</si>
  <si>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</si>
  <si>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</si>
  <si>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</si>
  <si>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</si>
  <si>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</si>
  <si>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</si>
  <si>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</si>
  <si>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</si>
  <si>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</si>
  <si>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</si>
  <si>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</si>
  <si>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</si>
  <si>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</si>
  <si>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</si>
  <si>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</si>
  <si>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</si>
  <si>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</si>
  <si>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</si>
  <si>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</si>
  <si>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</si>
  <si>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</si>
  <si>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</si>
  <si>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</si>
  <si>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</si>
  <si>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</si>
  <si>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</si>
  <si>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</si>
  <si>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</si>
  <si>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</si>
  <si>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</si>
  <si>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</si>
  <si>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</si>
  <si>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</si>
  <si>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</si>
  <si>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</si>
  <si>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</si>
  <si>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</si>
  <si>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</si>
  <si>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 xml:space="preserve">Verona Ivory mat </t>
  </si>
  <si>
    <t>BRW kaszmirowy</t>
  </si>
  <si>
    <t>Verona kaszmirowy</t>
  </si>
  <si>
    <t>Verona  Ivory mat - longueur maximale recommandée du profil 2150 mm</t>
  </si>
  <si>
    <t>TREVISO</t>
  </si>
  <si>
    <t>Treviso černá mat - maximální doporučená délka profilu 2750 mm</t>
  </si>
  <si>
    <t>Treviso čierna matt - maximálna odporúčaná dĺžka profilu 2750 mm</t>
  </si>
  <si>
    <t>Treviso fekete matt - maximális ajánlott profilhosszúság 2750 mm</t>
  </si>
  <si>
    <t>Treviso black matt - maximum profile length 2750 mm</t>
  </si>
  <si>
    <t>Treviso noir mat - longueur maximale recommandée du profil 2750 mm</t>
  </si>
  <si>
    <t>Treviso Czarny matowy</t>
  </si>
  <si>
    <t>Treviso czarny matowy - maksymalna zalecana długość profilu 2750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</si>
  <si>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</si>
  <si>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</si>
  <si>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</si>
  <si>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</si>
  <si>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</si>
  <si>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</si>
  <si>
    <t>Verona Acier Gratta</t>
  </si>
  <si>
    <t xml:space="preserve">BRW acier gratta </t>
  </si>
  <si>
    <t>BRW světlá nerez (INOX ACIER gratta) - maximální doporučená délka profilu 2500 mm</t>
  </si>
  <si>
    <t>BRW svetlá nerez (INOX ACIER gratta)- maximálna odporúčaná dĺžka profilu 2500 mm</t>
  </si>
  <si>
    <t>BRW INOX ACIER gratta - maksymalna zalecana długość profilu 2500 mm</t>
  </si>
  <si>
    <t>BRW nemesacél INOX ACIER gratta - maximális ajánlott profilhosszúság 2500 mm</t>
  </si>
  <si>
    <t>BRW Light Stainless Steel (INOX ACIER gratta) - maximum profile length 2500 mm</t>
  </si>
  <si>
    <t>BRW inox clair (INOX ACIER gratta) - longueur maximale recommandée du profil 2500 mm</t>
  </si>
  <si>
    <t>Verona světlá nerez (Acier gratta) - maximální doporučená délka profilu 2500 mm</t>
  </si>
  <si>
    <t>Verona light stainless steel (Acier gratta) - maximum profile length 2500 mm</t>
  </si>
  <si>
    <t>Verona inox clair (Acier gratta) - longueur maximale recommandée du profil 2500 mm</t>
  </si>
  <si>
    <t xml:space="preserve">Verona Acier Gratta </t>
  </si>
  <si>
    <t>Verona Acier gratta</t>
  </si>
  <si>
    <t>BRW acier gratta</t>
  </si>
  <si>
    <t>Verona  Acier gratta</t>
  </si>
  <si>
    <t>BRW INOX LIJA</t>
  </si>
  <si>
    <t>Modena INOX LIJA</t>
  </si>
  <si>
    <t>Vivaro INOX LIJA</t>
  </si>
  <si>
    <t>BRW antracyt RAL 7021</t>
  </si>
  <si>
    <t>BRW bialy matowy RAL 9003</t>
  </si>
  <si>
    <t>BRW brąz</t>
  </si>
  <si>
    <t>BRW szczotkowany</t>
  </si>
  <si>
    <t>BRW Czarny matowy</t>
  </si>
  <si>
    <t>BRW czarna szczotka</t>
  </si>
  <si>
    <t>Warna elox</t>
  </si>
  <si>
    <t>BRW ACIER GRATA</t>
  </si>
  <si>
    <t>BRW INOX Lija</t>
  </si>
  <si>
    <t>Modena INOX LIJA - maksymalna zalecana długość profilu 2500 mm</t>
  </si>
  <si>
    <t>Verona Acier Gratta - maksymalna zalecana zalecana długość profilu 2500 mm</t>
  </si>
  <si>
    <t>Verona nemesacél csiszolt Acier gratta - maximális ajánlott profilhosszúság 2500 mm</t>
  </si>
  <si>
    <t>Vivaro INOX LIJA - maksymalna zalecana zalecana długość profilu 2500 mm</t>
  </si>
  <si>
    <t>Ceny jsou platné od 27.1.2026/Verze 8.2</t>
  </si>
  <si>
    <t>Ceny sú platné od  27.1.2026/Verzia 8.2</t>
  </si>
  <si>
    <t>Ceny obowiązują od 18.5.2026/Wersja 8.2</t>
  </si>
  <si>
    <t>Az árak érvényesek  27.1.2026 -től/8.2 - es változat</t>
  </si>
  <si>
    <t>Prices are valid from  27.1.2026/Version 8.2</t>
  </si>
  <si>
    <t>Les prix sont valables à partir du  27.1.2026/Version 8.2</t>
  </si>
  <si>
    <t>Modena nemesacél csiszolt INOX LIJA - maximális ajánlott profilhosszúság 2500 mm</t>
  </si>
  <si>
    <t>Vivaro nemesacél csiszolt INOX LIJA - maximális ajánlott profilhosszúság 2500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</si>
</sst>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6"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7" xfId="13" applyFont="1" applyBorder="1" applyAlignment="1" applyProtection="1">
      <alignment vertical="center"/>
      <protection locked="0"/>
    </xf>
    <xf numFmtId="0" fontId="14" fillId="0" borderId="10" xfId="13" applyFont="1" applyBorder="1" applyAlignment="1" applyProtection="1">
      <alignment horizontal="lef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4" xfId="13" applyFont="1" applyBorder="1" applyAlignment="1" applyProtection="1">
      <alignment horizontal="left" vertical="center"/>
      <protection locked="0"/>
    </xf>
    <xf numFmtId="0" fontId="14" fillId="0" borderId="5" xfId="13" applyFont="1" applyBorder="1" applyAlignment="1" applyProtection="1">
      <alignment horizontal="left" vertical="center"/>
      <protection locked="0"/>
    </xf>
    <xf numFmtId="0" fontId="14" fillId="0" borderId="5" xfId="13" applyFont="1" applyBorder="1" applyAlignment="1" applyProtection="1">
      <alignment vertical="center"/>
      <protection locked="0"/>
    </xf>
    <xf numFmtId="0" fontId="14" fillId="0" borderId="17" xfId="13" applyFont="1" applyBorder="1" applyAlignment="1" applyProtection="1">
      <alignment horizontal="left" vertical="center"/>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14" fillId="0" borderId="36" xfId="13" applyFont="1" applyBorder="1" applyAlignment="1" applyProtection="1">
      <alignment vertical="center"/>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4"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5"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5"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8"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6" fillId="0" borderId="0" xfId="20" applyProtection="1">
      <protection locked="0"/>
    </xf>
    <xf numFmtId="165" fontId="76" fillId="0" borderId="0" xfId="20" applyNumberFormat="1" applyAlignment="1" applyProtection="1">
      <alignment horizontal="center"/>
      <protection locked="0"/>
    </xf>
    <xf numFmtId="166" fontId="76" fillId="0" borderId="0" xfId="20" applyNumberFormat="1" applyAlignment="1" applyProtection="1">
      <alignment horizontal="center"/>
      <protection locked="0"/>
    </xf>
    <xf numFmtId="49" fontId="76"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2" fillId="0" borderId="0" xfId="0" applyFont="1" applyAlignment="1">
      <alignment vertical="center"/>
    </xf>
    <xf numFmtId="0" fontId="19" fillId="0" borderId="0" xfId="0" applyFont="1"/>
    <xf numFmtId="167" fontId="0" fillId="0" borderId="0" xfId="0" applyNumberFormat="1" applyAlignment="1">
      <alignment horizontal="center"/>
    </xf>
    <xf numFmtId="0" fontId="80"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80"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7"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8" fillId="19" borderId="3" xfId="0" applyNumberFormat="1" applyFont="1" applyFill="1" applyBorder="1" applyAlignment="1" applyProtection="1">
      <alignment horizontal="center"/>
      <protection hidden="1"/>
    </xf>
    <xf numFmtId="0" fontId="89"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3"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4"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90" fillId="19" borderId="0" xfId="0" applyFont="1" applyFill="1" applyProtection="1">
      <protection hidden="1"/>
    </xf>
    <xf numFmtId="168" fontId="0" fillId="19" borderId="0" xfId="0" applyNumberFormat="1" applyFill="1" applyAlignment="1" applyProtection="1">
      <alignment horizontal="center"/>
      <protection hidden="1"/>
    </xf>
    <xf numFmtId="0" fontId="91"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5" fillId="19" borderId="0" xfId="0" applyFont="1" applyFill="1" applyProtection="1">
      <protection hidden="1"/>
    </xf>
    <xf numFmtId="0" fontId="21" fillId="19" borderId="0" xfId="0" applyFont="1" applyFill="1" applyAlignment="1" applyProtection="1">
      <alignment horizontal="center" wrapText="1"/>
      <protection hidden="1"/>
    </xf>
    <xf numFmtId="0" fontId="92" fillId="19" borderId="0" xfId="0" applyFont="1" applyFill="1" applyAlignment="1" applyProtection="1">
      <alignment vertical="center"/>
      <protection hidden="1"/>
    </xf>
    <xf numFmtId="0" fontId="92"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6" fillId="0" borderId="0" xfId="0" applyFont="1" applyAlignment="1">
      <alignment vertical="center"/>
    </xf>
    <xf numFmtId="0" fontId="82" fillId="17" borderId="30" xfId="0" applyFont="1" applyFill="1" applyBorder="1" applyAlignment="1">
      <alignment vertical="center"/>
    </xf>
    <xf numFmtId="0" fontId="82" fillId="17" borderId="8" xfId="0" applyFont="1" applyFill="1" applyBorder="1" applyAlignment="1">
      <alignment vertical="center"/>
    </xf>
    <xf numFmtId="0" fontId="82"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7" fillId="0" borderId="0" xfId="0" applyFont="1" applyAlignment="1">
      <alignment vertical="center"/>
    </xf>
    <xf numFmtId="0" fontId="98"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9" fillId="0" borderId="0" xfId="0" applyFont="1" applyAlignment="1">
      <alignment vertical="center"/>
    </xf>
    <xf numFmtId="0" fontId="80"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8" fillId="0" borderId="0" xfId="0" applyFont="1" applyAlignment="1" applyProtection="1">
      <alignment horizontal="left"/>
      <protection hidden="1"/>
    </xf>
    <xf numFmtId="0" fontId="88"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2"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2" fillId="17" borderId="0" xfId="0" applyFont="1" applyFill="1" applyAlignment="1">
      <alignment vertical="center"/>
    </xf>
    <xf numFmtId="0" fontId="82"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5" fillId="36" borderId="14" xfId="0" applyFont="1" applyFill="1" applyBorder="1" applyAlignment="1">
      <alignment horizontal="right" vertical="center"/>
    </xf>
    <xf numFmtId="0" fontId="105" fillId="36" borderId="17" xfId="0" applyFont="1" applyFill="1" applyBorder="1" applyAlignment="1">
      <alignment horizontal="right" vertical="center"/>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55" fillId="10" borderId="0" xfId="7" applyFont="1" applyFill="1" applyAlignment="1" applyProtection="1">
      <alignment horizontal="center" vertical="center" wrapText="1"/>
      <protection locked="0"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33" fillId="10" borderId="61" xfId="1" applyFont="1" applyFill="1" applyBorder="1" applyAlignment="1" applyProtection="1">
      <alignment horizontal="center" vertical="center"/>
      <protection hidden="1"/>
    </xf>
    <xf numFmtId="0" fontId="33" fillId="10" borderId="0" xfId="1" applyFont="1" applyFill="1" applyBorder="1" applyAlignment="1" applyProtection="1">
      <alignment horizontal="center" vertical="center"/>
      <protection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33" fillId="17" borderId="61" xfId="1" applyFont="1" applyFill="1" applyBorder="1" applyAlignment="1" applyProtection="1">
      <alignment horizontal="center" vertical="center"/>
      <protection hidden="1"/>
    </xf>
    <xf numFmtId="0" fontId="33" fillId="17" borderId="0" xfId="1" applyFont="1" applyFill="1" applyBorder="1" applyAlignment="1" applyProtection="1">
      <alignment horizontal="center" vertical="center"/>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17" borderId="0" xfId="1" applyFont="1" applyFill="1" applyBorder="1" applyAlignment="1" applyProtection="1">
      <alignment horizontal="center" vertical="center"/>
      <protection hidden="1"/>
    </xf>
    <xf numFmtId="0" fontId="59" fillId="0" borderId="0" xfId="1" applyFont="1" applyFill="1" applyBorder="1" applyAlignment="1" applyProtection="1">
      <alignment horizontal="center" vertical="center"/>
      <protection hidden="1"/>
    </xf>
    <xf numFmtId="0" fontId="84" fillId="0" borderId="0" xfId="1" applyFont="1" applyFill="1" applyBorder="1" applyAlignment="1" applyProtection="1">
      <alignment horizontal="center" vertical="center"/>
      <protection hidden="1"/>
    </xf>
    <xf numFmtId="0" fontId="81" fillId="11" borderId="32" xfId="0" applyFont="1" applyFill="1" applyBorder="1" applyAlignment="1">
      <alignment horizontal="center" vertical="center" wrapText="1"/>
    </xf>
    <xf numFmtId="0" fontId="19" fillId="0" borderId="0" xfId="0" applyFont="1" applyAlignment="1">
      <alignment horizontal="left" vertical="center" wrapText="1"/>
    </xf>
    <xf numFmtId="0" fontId="82" fillId="17" borderId="30" xfId="0" applyFont="1" applyFill="1" applyBorder="1" applyAlignment="1">
      <alignment horizontal="center" vertical="center"/>
    </xf>
    <xf numFmtId="0" fontId="82" fillId="17" borderId="8" xfId="0" applyFont="1" applyFill="1" applyBorder="1" applyAlignment="1">
      <alignment horizontal="center" vertical="center"/>
    </xf>
    <xf numFmtId="0" fontId="82"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2"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59" fillId="22" borderId="61" xfId="1" applyFont="1" applyFill="1" applyBorder="1" applyAlignment="1" applyProtection="1">
      <alignment horizontal="center" vertical="center"/>
      <protection hidden="1"/>
    </xf>
    <xf numFmtId="0" fontId="59" fillId="22" borderId="0" xfId="1" applyFont="1" applyFill="1" applyBorder="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4" fillId="10" borderId="0" xfId="7" applyFont="1" applyFill="1" applyAlignment="1" applyProtection="1">
      <alignment horizontal="center"/>
      <protection hidden="1"/>
    </xf>
    <xf numFmtId="0" fontId="104"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3"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33" fillId="22" borderId="61" xfId="1" applyFont="1" applyFill="1" applyBorder="1" applyAlignment="1" applyProtection="1">
      <alignment horizontal="center" vertical="center"/>
      <protection hidden="1"/>
    </xf>
    <xf numFmtId="0" fontId="33" fillId="22" borderId="0" xfId="1" applyFont="1" applyFill="1" applyBorder="1" applyAlignment="1" applyProtection="1">
      <alignment horizontal="center" vertical="center"/>
      <protection hidden="1"/>
    </xf>
    <xf numFmtId="0" fontId="59" fillId="10" borderId="0" xfId="1" applyFont="1" applyFill="1" applyBorder="1" applyAlignment="1" applyProtection="1">
      <alignment horizontal="center" vertical="center"/>
      <protection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5"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73" fillId="10" borderId="61" xfId="1" applyFont="1" applyFill="1" applyBorder="1" applyAlignment="1" applyProtection="1">
      <alignment horizontal="center" vertical="center"/>
      <protection locked="0" hidden="1"/>
    </xf>
    <xf numFmtId="0" fontId="73" fillId="10" borderId="0" xfId="1" applyFont="1" applyFill="1" applyBorder="1" applyAlignment="1" applyProtection="1">
      <alignment horizontal="center" vertical="center"/>
      <protection locked="0"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7"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65" fillId="10" borderId="61" xfId="1" applyFont="1" applyFill="1" applyBorder="1" applyAlignment="1" applyProtection="1">
      <alignment horizontal="center" vertical="center"/>
      <protection hidden="1"/>
    </xf>
    <xf numFmtId="0" fontId="65" fillId="10" borderId="0" xfId="1" applyFont="1" applyFill="1" applyBorder="1" applyAlignment="1" applyProtection="1">
      <alignment horizontal="center" vertical="center"/>
      <protection hidden="1"/>
    </xf>
    <xf numFmtId="0" fontId="86"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68" fillId="11" borderId="0" xfId="1" applyFont="1" applyFill="1" applyAlignment="1" applyProtection="1">
      <alignment horizontal="center"/>
      <protection locked="0"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73" fillId="10" borderId="0" xfId="1" applyFont="1" applyFill="1" applyAlignment="1" applyProtection="1">
      <alignment horizontal="center"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1"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3" fillId="0" borderId="30" xfId="0" applyFont="1" applyBorder="1" applyAlignment="1" applyProtection="1">
      <alignment horizontal="center" vertical="center"/>
      <protection hidden="1"/>
    </xf>
    <xf numFmtId="0" fontId="103" fillId="0" borderId="8" xfId="0" applyFont="1" applyBorder="1" applyAlignment="1" applyProtection="1">
      <alignment horizontal="center" vertical="center"/>
      <protection hidden="1"/>
    </xf>
    <xf numFmtId="0" fontId="103"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100" fillId="0" borderId="0" xfId="0" applyNumberFormat="1" applyFont="1" applyAlignment="1" applyProtection="1">
      <alignment horizontal="right" vertical="center"/>
      <protection hidden="1"/>
    </xf>
    <xf numFmtId="0" fontId="100" fillId="0" borderId="0" xfId="0" applyFont="1" applyAlignment="1" applyProtection="1">
      <alignment horizontal="right" vertical="center"/>
      <protection hidden="1"/>
    </xf>
    <xf numFmtId="0" fontId="79" fillId="0" borderId="0" xfId="0" applyFont="1" applyAlignment="1" applyProtection="1">
      <alignment horizontal="center"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strike val="0"/>
        <color theme="0"/>
      </font>
      <fill>
        <patternFill patternType="solid">
          <fgColor theme="0"/>
          <bgColor theme="0"/>
        </patternFill>
      </fill>
    </dxf>
    <dxf>
      <font>
        <strike val="0"/>
        <color theme="0"/>
      </font>
      <fill>
        <patternFill patternType="solid">
          <fgColor theme="0"/>
          <bgColor theme="0"/>
        </patternFill>
      </fill>
      <border>
        <vertical/>
        <horizontal/>
      </border>
    </dxf>
    <dxf>
      <font>
        <color theme="0"/>
      </font>
      <fill>
        <patternFill patternType="none">
          <fgColor indexed="64"/>
          <bgColor auto="1"/>
        </patternFill>
      </fill>
    </dxf>
    <dxf>
      <font>
        <strike val="0"/>
        <color theme="0"/>
      </font>
      <fill>
        <patternFill patternType="none">
          <fgColor indexed="64"/>
          <bgColor auto="1"/>
        </patternFill>
      </fill>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
      <fill>
        <patternFill>
          <bgColor theme="3"/>
        </patternFill>
      </fill>
    </dxf>
    <dxf>
      <fill>
        <patternFill>
          <bgColor theme="3"/>
        </patternFill>
      </fill>
    </dxf>
    <dxf>
      <font>
        <color theme="0"/>
      </font>
      <fill>
        <patternFill>
          <bgColor theme="3"/>
        </patternFill>
      </fill>
    </dxf>
    <dxf>
      <fill>
        <patternFill>
          <bgColor rgb="FF004984"/>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4984"/>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s>
  <tableStyles count="0" defaultTableStyle="TableStyleMedium9" defaultPivotStyle="PivotStyleLight16"/>
  <colors>
    <mruColors>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3.png"/><Relationship Id="rId26" Type="http://schemas.openxmlformats.org/officeDocument/2006/relationships/image" Target="../media/image52.emf"/><Relationship Id="rId3" Type="http://schemas.openxmlformats.org/officeDocument/2006/relationships/image" Target="../media/image30.emf"/><Relationship Id="rId21" Type="http://schemas.openxmlformats.org/officeDocument/2006/relationships/image" Target="../media/image47.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44.emf"/><Relationship Id="rId25" Type="http://schemas.openxmlformats.org/officeDocument/2006/relationships/image" Target="../media/image51.emf"/><Relationship Id="rId2" Type="http://schemas.openxmlformats.org/officeDocument/2006/relationships/image" Target="../media/image29.emf"/><Relationship Id="rId16" Type="http://schemas.openxmlformats.org/officeDocument/2006/relationships/image" Target="../media/image43.emf"/><Relationship Id="rId20" Type="http://schemas.openxmlformats.org/officeDocument/2006/relationships/image" Target="../media/image46.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24" Type="http://schemas.openxmlformats.org/officeDocument/2006/relationships/image" Target="../media/image50.emf"/><Relationship Id="rId5" Type="http://schemas.openxmlformats.org/officeDocument/2006/relationships/image" Target="../media/image32.emf"/><Relationship Id="rId15" Type="http://schemas.openxmlformats.org/officeDocument/2006/relationships/image" Target="../media/image42.emf"/><Relationship Id="rId23" Type="http://schemas.openxmlformats.org/officeDocument/2006/relationships/image" Target="../media/image49.emf"/><Relationship Id="rId28" Type="http://schemas.openxmlformats.org/officeDocument/2006/relationships/image" Target="../media/image54.emf"/><Relationship Id="rId10" Type="http://schemas.openxmlformats.org/officeDocument/2006/relationships/image" Target="../media/image37.emf"/><Relationship Id="rId19" Type="http://schemas.openxmlformats.org/officeDocument/2006/relationships/image" Target="../media/image45.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 Id="rId22" Type="http://schemas.openxmlformats.org/officeDocument/2006/relationships/image" Target="../media/image48.emf"/><Relationship Id="rId27" Type="http://schemas.openxmlformats.org/officeDocument/2006/relationships/image" Target="../media/image53.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94.jpeg"/><Relationship Id="rId18" Type="http://schemas.openxmlformats.org/officeDocument/2006/relationships/image" Target="../media/image99.jpeg"/><Relationship Id="rId26" Type="http://schemas.openxmlformats.org/officeDocument/2006/relationships/image" Target="../media/image107.jpeg"/><Relationship Id="rId21" Type="http://schemas.openxmlformats.org/officeDocument/2006/relationships/image" Target="../media/image102.jpeg"/><Relationship Id="rId34" Type="http://schemas.openxmlformats.org/officeDocument/2006/relationships/image" Target="../media/image5.png"/><Relationship Id="rId7" Type="http://schemas.openxmlformats.org/officeDocument/2006/relationships/image" Target="../media/image88.jpeg"/><Relationship Id="rId12" Type="http://schemas.openxmlformats.org/officeDocument/2006/relationships/image" Target="../media/image93.jpeg"/><Relationship Id="rId17" Type="http://schemas.openxmlformats.org/officeDocument/2006/relationships/image" Target="../media/image98.jpeg"/><Relationship Id="rId25" Type="http://schemas.openxmlformats.org/officeDocument/2006/relationships/image" Target="../media/image106.jpeg"/><Relationship Id="rId33" Type="http://schemas.openxmlformats.org/officeDocument/2006/relationships/image" Target="../media/image114.jpeg"/><Relationship Id="rId38" Type="http://schemas.openxmlformats.org/officeDocument/2006/relationships/image" Target="../media/image118.jpeg"/><Relationship Id="rId2" Type="http://schemas.openxmlformats.org/officeDocument/2006/relationships/image" Target="../media/image83.jpeg"/><Relationship Id="rId16" Type="http://schemas.openxmlformats.org/officeDocument/2006/relationships/image" Target="../media/image97.jpeg"/><Relationship Id="rId20" Type="http://schemas.openxmlformats.org/officeDocument/2006/relationships/image" Target="../media/image101.jpeg"/><Relationship Id="rId29" Type="http://schemas.openxmlformats.org/officeDocument/2006/relationships/image" Target="../media/image110.jpeg"/><Relationship Id="rId1" Type="http://schemas.openxmlformats.org/officeDocument/2006/relationships/image" Target="../media/image82.jpeg"/><Relationship Id="rId6" Type="http://schemas.openxmlformats.org/officeDocument/2006/relationships/image" Target="../media/image87.jpeg"/><Relationship Id="rId11" Type="http://schemas.openxmlformats.org/officeDocument/2006/relationships/image" Target="../media/image92.jpeg"/><Relationship Id="rId24" Type="http://schemas.openxmlformats.org/officeDocument/2006/relationships/image" Target="../media/image105.jpeg"/><Relationship Id="rId32" Type="http://schemas.openxmlformats.org/officeDocument/2006/relationships/image" Target="../media/image113.jpeg"/><Relationship Id="rId37" Type="http://schemas.openxmlformats.org/officeDocument/2006/relationships/image" Target="../media/image117.jpeg"/><Relationship Id="rId5" Type="http://schemas.openxmlformats.org/officeDocument/2006/relationships/image" Target="../media/image86.jpeg"/><Relationship Id="rId15" Type="http://schemas.openxmlformats.org/officeDocument/2006/relationships/image" Target="../media/image96.jpeg"/><Relationship Id="rId23" Type="http://schemas.openxmlformats.org/officeDocument/2006/relationships/image" Target="../media/image104.jpeg"/><Relationship Id="rId28" Type="http://schemas.openxmlformats.org/officeDocument/2006/relationships/image" Target="../media/image109.jpeg"/><Relationship Id="rId36" Type="http://schemas.openxmlformats.org/officeDocument/2006/relationships/image" Target="../media/image116.jpeg"/><Relationship Id="rId10" Type="http://schemas.openxmlformats.org/officeDocument/2006/relationships/image" Target="../media/image91.jpeg"/><Relationship Id="rId19" Type="http://schemas.openxmlformats.org/officeDocument/2006/relationships/image" Target="../media/image100.jpeg"/><Relationship Id="rId31" Type="http://schemas.openxmlformats.org/officeDocument/2006/relationships/image" Target="../media/image112.jpeg"/><Relationship Id="rId4" Type="http://schemas.openxmlformats.org/officeDocument/2006/relationships/image" Target="../media/image85.jpeg"/><Relationship Id="rId9" Type="http://schemas.openxmlformats.org/officeDocument/2006/relationships/image" Target="../media/image90.jpeg"/><Relationship Id="rId14" Type="http://schemas.openxmlformats.org/officeDocument/2006/relationships/image" Target="../media/image95.jpeg"/><Relationship Id="rId22" Type="http://schemas.openxmlformats.org/officeDocument/2006/relationships/image" Target="../media/image103.jpeg"/><Relationship Id="rId27" Type="http://schemas.openxmlformats.org/officeDocument/2006/relationships/image" Target="../media/image108.jpeg"/><Relationship Id="rId30" Type="http://schemas.openxmlformats.org/officeDocument/2006/relationships/image" Target="../media/image111.jpeg"/><Relationship Id="rId35" Type="http://schemas.openxmlformats.org/officeDocument/2006/relationships/image" Target="../media/image115.png"/><Relationship Id="rId8" Type="http://schemas.openxmlformats.org/officeDocument/2006/relationships/image" Target="../media/image89.jpeg"/><Relationship Id="rId3" Type="http://schemas.openxmlformats.org/officeDocument/2006/relationships/image" Target="../media/image84.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26.emf"/><Relationship Id="rId3" Type="http://schemas.openxmlformats.org/officeDocument/2006/relationships/image" Target="../media/image121.emf"/><Relationship Id="rId7" Type="http://schemas.openxmlformats.org/officeDocument/2006/relationships/image" Target="../media/image125.emf"/><Relationship Id="rId2" Type="http://schemas.openxmlformats.org/officeDocument/2006/relationships/image" Target="../media/image120.emf"/><Relationship Id="rId1" Type="http://schemas.openxmlformats.org/officeDocument/2006/relationships/image" Target="../media/image119.emf"/><Relationship Id="rId6" Type="http://schemas.openxmlformats.org/officeDocument/2006/relationships/image" Target="../media/image124.emf"/><Relationship Id="rId5" Type="http://schemas.openxmlformats.org/officeDocument/2006/relationships/image" Target="../media/image123.emf"/><Relationship Id="rId10" Type="http://schemas.openxmlformats.org/officeDocument/2006/relationships/image" Target="../media/image128.emf"/><Relationship Id="rId4" Type="http://schemas.openxmlformats.org/officeDocument/2006/relationships/image" Target="../media/image122.emf"/><Relationship Id="rId9" Type="http://schemas.openxmlformats.org/officeDocument/2006/relationships/image" Target="../media/image127.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62.emf"/><Relationship Id="rId13" Type="http://schemas.openxmlformats.org/officeDocument/2006/relationships/image" Target="../media/image67.emf"/><Relationship Id="rId18" Type="http://schemas.openxmlformats.org/officeDocument/2006/relationships/image" Target="../media/image72.emf"/><Relationship Id="rId26" Type="http://schemas.openxmlformats.org/officeDocument/2006/relationships/image" Target="../media/image80.emf"/><Relationship Id="rId3" Type="http://schemas.openxmlformats.org/officeDocument/2006/relationships/image" Target="../media/image57.emf"/><Relationship Id="rId21" Type="http://schemas.openxmlformats.org/officeDocument/2006/relationships/image" Target="../media/image75.emf"/><Relationship Id="rId7" Type="http://schemas.openxmlformats.org/officeDocument/2006/relationships/image" Target="../media/image61.emf"/><Relationship Id="rId12" Type="http://schemas.openxmlformats.org/officeDocument/2006/relationships/image" Target="../media/image66.emf"/><Relationship Id="rId17" Type="http://schemas.openxmlformats.org/officeDocument/2006/relationships/image" Target="../media/image71.emf"/><Relationship Id="rId25" Type="http://schemas.openxmlformats.org/officeDocument/2006/relationships/image" Target="../media/image79.emf"/><Relationship Id="rId2" Type="http://schemas.openxmlformats.org/officeDocument/2006/relationships/image" Target="../media/image56.emf"/><Relationship Id="rId16" Type="http://schemas.openxmlformats.org/officeDocument/2006/relationships/image" Target="../media/image70.emf"/><Relationship Id="rId20" Type="http://schemas.openxmlformats.org/officeDocument/2006/relationships/image" Target="../media/image74.emf"/><Relationship Id="rId1" Type="http://schemas.openxmlformats.org/officeDocument/2006/relationships/image" Target="../media/image55.emf"/><Relationship Id="rId6" Type="http://schemas.openxmlformats.org/officeDocument/2006/relationships/image" Target="../media/image60.emf"/><Relationship Id="rId11" Type="http://schemas.openxmlformats.org/officeDocument/2006/relationships/image" Target="../media/image65.emf"/><Relationship Id="rId24" Type="http://schemas.openxmlformats.org/officeDocument/2006/relationships/image" Target="../media/image78.emf"/><Relationship Id="rId5" Type="http://schemas.openxmlformats.org/officeDocument/2006/relationships/image" Target="../media/image59.emf"/><Relationship Id="rId15" Type="http://schemas.openxmlformats.org/officeDocument/2006/relationships/image" Target="../media/image69.emf"/><Relationship Id="rId23" Type="http://schemas.openxmlformats.org/officeDocument/2006/relationships/image" Target="../media/image77.emf"/><Relationship Id="rId10" Type="http://schemas.openxmlformats.org/officeDocument/2006/relationships/image" Target="../media/image64.emf"/><Relationship Id="rId19" Type="http://schemas.openxmlformats.org/officeDocument/2006/relationships/image" Target="../media/image73.emf"/><Relationship Id="rId4" Type="http://schemas.openxmlformats.org/officeDocument/2006/relationships/image" Target="../media/image58.emf"/><Relationship Id="rId9" Type="http://schemas.openxmlformats.org/officeDocument/2006/relationships/image" Target="../media/image63.emf"/><Relationship Id="rId14" Type="http://schemas.openxmlformats.org/officeDocument/2006/relationships/image" Target="../media/image68.emf"/><Relationship Id="rId22" Type="http://schemas.openxmlformats.org/officeDocument/2006/relationships/image" Target="../media/image76.emf"/><Relationship Id="rId27" Type="http://schemas.openxmlformats.org/officeDocument/2006/relationships/image" Target="../media/image81.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36.emf"/><Relationship Id="rId3" Type="http://schemas.openxmlformats.org/officeDocument/2006/relationships/image" Target="../media/image131.emf"/><Relationship Id="rId7" Type="http://schemas.openxmlformats.org/officeDocument/2006/relationships/image" Target="../media/image135.emf"/><Relationship Id="rId2" Type="http://schemas.openxmlformats.org/officeDocument/2006/relationships/image" Target="../media/image130.emf"/><Relationship Id="rId1" Type="http://schemas.openxmlformats.org/officeDocument/2006/relationships/image" Target="../media/image129.emf"/><Relationship Id="rId6" Type="http://schemas.openxmlformats.org/officeDocument/2006/relationships/image" Target="../media/image134.emf"/><Relationship Id="rId5" Type="http://schemas.openxmlformats.org/officeDocument/2006/relationships/image" Target="../media/image133.emf"/><Relationship Id="rId10" Type="http://schemas.openxmlformats.org/officeDocument/2006/relationships/image" Target="../media/image138.emf"/><Relationship Id="rId4" Type="http://schemas.openxmlformats.org/officeDocument/2006/relationships/image" Target="../media/image132.emf"/><Relationship Id="rId9" Type="http://schemas.openxmlformats.org/officeDocument/2006/relationships/image" Target="../media/image137.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132927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4867"/>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4868"/>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132503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72"/>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208915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73"/>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428625</xdr:colOff>
      <xdr:row>9</xdr:row>
      <xdr:rowOff>152400</xdr:rowOff>
    </xdr:from>
    <xdr:to>
      <xdr:col>15</xdr:col>
      <xdr:colOff>514350</xdr:colOff>
      <xdr:row>20</xdr:row>
      <xdr:rowOff>133350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5775" y="1990725"/>
          <a:ext cx="12668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519568</xdr:colOff>
      <xdr:row>54</xdr:row>
      <xdr:rowOff>176689</xdr:rowOff>
    </xdr:from>
    <xdr:to>
      <xdr:col>32</xdr:col>
      <xdr:colOff>0</xdr:colOff>
      <xdr:row>85</xdr:row>
      <xdr:rowOff>170498</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425818" y="11166158"/>
          <a:ext cx="6767057" cy="5577840"/>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2929055"/>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2929056"/>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2929057"/>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2929058"/>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2929059"/>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2929060"/>
                </a:ext>
              </a:extLst>
            </xdr:cNvPicPr>
          </xdr:nvPicPr>
          <xdr:blipFill>
            <a:blip xmlns:r="http://schemas.openxmlformats.org/officeDocument/2006/relationships" r:embed="rId3"/>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2929061"/>
                </a:ext>
              </a:extLst>
            </xdr:cNvPicPr>
          </xdr:nvPicPr>
          <xdr:blipFill>
            <a:blip xmlns:r="http://schemas.openxmlformats.org/officeDocument/2006/relationships" r:embed="rId6"/>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2929062"/>
                </a:ext>
              </a:extLst>
            </xdr:cNvPicPr>
          </xdr:nvPicPr>
          <xdr:blipFill>
            <a:blip xmlns:r="http://schemas.openxmlformats.org/officeDocument/2006/relationships" r:embed="rId7"/>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2929063"/>
                </a:ext>
              </a:extLst>
            </xdr:cNvPicPr>
          </xdr:nvPicPr>
          <xdr:blipFill>
            <a:blip xmlns:r="http://schemas.openxmlformats.org/officeDocument/2006/relationships" r:embed="rId3"/>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2929064"/>
                </a:ext>
              </a:extLst>
            </xdr:cNvPicPr>
          </xdr:nvPicPr>
          <xdr:blipFill>
            <a:blip xmlns:r="http://schemas.openxmlformats.org/officeDocument/2006/relationships" r:embed="rId8"/>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2929065"/>
                </a:ext>
              </a:extLst>
            </xdr:cNvPicPr>
          </xdr:nvPicPr>
          <xdr:blipFill>
            <a:blip xmlns:r="http://schemas.openxmlformats.org/officeDocument/2006/relationships" r:embed="rId9"/>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2929066"/>
                </a:ext>
              </a:extLst>
            </xdr:cNvPicPr>
          </xdr:nvPicPr>
          <xdr:blipFill>
            <a:blip xmlns:r="http://schemas.openxmlformats.org/officeDocument/2006/relationships" r:embed="rId3"/>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2929067"/>
                </a:ext>
              </a:extLst>
            </xdr:cNvPicPr>
          </xdr:nvPicPr>
          <xdr:blipFill>
            <a:blip xmlns:r="http://schemas.openxmlformats.org/officeDocument/2006/relationships" r:embed="rId10"/>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2929068"/>
                </a:ext>
              </a:extLst>
            </xdr:cNvPicPr>
          </xdr:nvPicPr>
          <xdr:blipFill>
            <a:blip xmlns:r="http://schemas.openxmlformats.org/officeDocument/2006/relationships" r:embed="rId11"/>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2929069"/>
                </a:ext>
              </a:extLst>
            </xdr:cNvPicPr>
          </xdr:nvPicPr>
          <xdr:blipFill>
            <a:blip xmlns:r="http://schemas.openxmlformats.org/officeDocument/2006/relationships" r:embed="rId3"/>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2929070"/>
                </a:ext>
              </a:extLst>
            </xdr:cNvPicPr>
          </xdr:nvPicPr>
          <xdr:blipFill>
            <a:blip xmlns:r="http://schemas.openxmlformats.org/officeDocument/2006/relationships" r:embed="rId12"/>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2929071"/>
                </a:ext>
              </a:extLst>
            </xdr:cNvPicPr>
          </xdr:nvPicPr>
          <xdr:blipFill>
            <a:blip xmlns:r="http://schemas.openxmlformats.org/officeDocument/2006/relationships" r:embed="rId13"/>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2929072"/>
                </a:ext>
              </a:extLst>
            </xdr:cNvPicPr>
          </xdr:nvPicPr>
          <xdr:blipFill>
            <a:blip xmlns:r="http://schemas.openxmlformats.org/officeDocument/2006/relationships" r:embed="rId3"/>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2929073"/>
                </a:ext>
              </a:extLst>
            </xdr:cNvPicPr>
          </xdr:nvPicPr>
          <xdr:blipFill>
            <a:blip xmlns:r="http://schemas.openxmlformats.org/officeDocument/2006/relationships" r:embed="rId14"/>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2929074"/>
                </a:ext>
              </a:extLst>
            </xdr:cNvPicPr>
          </xdr:nvPicPr>
          <xdr:blipFill>
            <a:blip xmlns:r="http://schemas.openxmlformats.org/officeDocument/2006/relationships" r:embed="rId15"/>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2929075"/>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2929076"/>
                </a:ext>
              </a:extLst>
            </xdr:cNvPicPr>
          </xdr:nvPicPr>
          <xdr:blipFill>
            <a:blip xmlns:r="http://schemas.openxmlformats.org/officeDocument/2006/relationships" r:embed="rId16"/>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2929077"/>
                </a:ext>
              </a:extLst>
            </xdr:cNvPicPr>
          </xdr:nvPicPr>
          <xdr:blipFill>
            <a:blip xmlns:r="http://schemas.openxmlformats.org/officeDocument/2006/relationships" r:embed="rId17"/>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8"/>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2929078"/>
                </a:ext>
              </a:extLst>
            </xdr:cNvPicPr>
          </xdr:nvPicPr>
          <xdr:blipFill>
            <a:blip xmlns:r="http://schemas.openxmlformats.org/officeDocument/2006/relationships" r:embed="rId19"/>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2929079"/>
                </a:ext>
              </a:extLst>
            </xdr:cNvPicPr>
          </xdr:nvPicPr>
          <xdr:blipFill>
            <a:blip xmlns:r="http://schemas.openxmlformats.org/officeDocument/2006/relationships" r:embed="rId20"/>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2929080"/>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2929081"/>
                </a:ext>
              </a:extLst>
            </xdr:cNvPicPr>
          </xdr:nvPicPr>
          <xdr:blipFill>
            <a:blip xmlns:r="http://schemas.openxmlformats.org/officeDocument/2006/relationships" r:embed="rId21"/>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2929082"/>
                </a:ext>
              </a:extLst>
            </xdr:cNvPicPr>
          </xdr:nvPicPr>
          <xdr:blipFill>
            <a:blip xmlns:r="http://schemas.openxmlformats.org/officeDocument/2006/relationships" r:embed="rId17"/>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2929083"/>
                </a:ext>
              </a:extLst>
            </xdr:cNvPicPr>
          </xdr:nvPicPr>
          <xdr:blipFill>
            <a:blip xmlns:r="http://schemas.openxmlformats.org/officeDocument/2006/relationships" r:embed="rId3"/>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2929084"/>
                </a:ext>
              </a:extLst>
            </xdr:cNvPicPr>
          </xdr:nvPicPr>
          <xdr:blipFill>
            <a:blip xmlns:r="http://schemas.openxmlformats.org/officeDocument/2006/relationships" r:embed="rId6"/>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2929085"/>
                </a:ext>
              </a:extLst>
            </xdr:cNvPicPr>
          </xdr:nvPicPr>
          <xdr:blipFill>
            <a:blip xmlns:r="http://schemas.openxmlformats.org/officeDocument/2006/relationships" r:embed="rId7"/>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2929086"/>
                </a:ext>
              </a:extLst>
            </xdr:cNvPicPr>
          </xdr:nvPicPr>
          <xdr:blipFill>
            <a:blip xmlns:r="http://schemas.openxmlformats.org/officeDocument/2006/relationships" r:embed="rId3"/>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2929087"/>
                </a:ext>
              </a:extLst>
            </xdr:cNvPicPr>
          </xdr:nvPicPr>
          <xdr:blipFill>
            <a:blip xmlns:r="http://schemas.openxmlformats.org/officeDocument/2006/relationships" r:embed="rId22"/>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2929088"/>
                </a:ext>
              </a:extLst>
            </xdr:cNvPicPr>
          </xdr:nvPicPr>
          <xdr:blipFill>
            <a:blip xmlns:r="http://schemas.openxmlformats.org/officeDocument/2006/relationships" r:embed="rId9"/>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2929089"/>
                </a:ext>
              </a:extLst>
            </xdr:cNvPicPr>
          </xdr:nvPicPr>
          <xdr:blipFill>
            <a:blip xmlns:r="http://schemas.openxmlformats.org/officeDocument/2006/relationships" r:embed="rId3"/>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2929090"/>
                </a:ext>
              </a:extLst>
            </xdr:cNvPicPr>
          </xdr:nvPicPr>
          <xdr:blipFill>
            <a:blip xmlns:r="http://schemas.openxmlformats.org/officeDocument/2006/relationships" r:embed="rId23"/>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2929091"/>
                </a:ext>
              </a:extLst>
            </xdr:cNvPicPr>
          </xdr:nvPicPr>
          <xdr:blipFill>
            <a:blip xmlns:r="http://schemas.openxmlformats.org/officeDocument/2006/relationships" r:embed="rId24"/>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2929092"/>
                </a:ext>
              </a:extLst>
            </xdr:cNvPicPr>
          </xdr:nvPicPr>
          <xdr:blipFill>
            <a:blip xmlns:r="http://schemas.openxmlformats.org/officeDocument/2006/relationships" r:embed="rId3"/>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2929093"/>
                </a:ext>
              </a:extLst>
            </xdr:cNvPicPr>
          </xdr:nvPicPr>
          <xdr:blipFill>
            <a:blip xmlns:r="http://schemas.openxmlformats.org/officeDocument/2006/relationships" r:embed="rId25"/>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2929094"/>
                </a:ext>
              </a:extLst>
            </xdr:cNvPicPr>
          </xdr:nvPicPr>
          <xdr:blipFill>
            <a:blip xmlns:r="http://schemas.openxmlformats.org/officeDocument/2006/relationships" r:embed="rId13"/>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2929095"/>
                </a:ext>
              </a:extLst>
            </xdr:cNvPicPr>
          </xdr:nvPicPr>
          <xdr:blipFill>
            <a:blip xmlns:r="http://schemas.openxmlformats.org/officeDocument/2006/relationships" r:embed="rId3"/>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2929096"/>
                </a:ext>
              </a:extLst>
            </xdr:cNvPicPr>
          </xdr:nvPicPr>
          <xdr:blipFill>
            <a:blip xmlns:r="http://schemas.openxmlformats.org/officeDocument/2006/relationships" r:embed="rId26"/>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2929097"/>
                </a:ext>
              </a:extLst>
            </xdr:cNvPicPr>
          </xdr:nvPicPr>
          <xdr:blipFill>
            <a:blip xmlns:r="http://schemas.openxmlformats.org/officeDocument/2006/relationships" r:embed="rId27"/>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2929098"/>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2929099"/>
                </a:ext>
              </a:extLst>
            </xdr:cNvPicPr>
          </xdr:nvPicPr>
          <xdr:blipFill>
            <a:blip xmlns:r="http://schemas.openxmlformats.org/officeDocument/2006/relationships" r:embed="rId28"/>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2929100"/>
                </a:ext>
              </a:extLst>
            </xdr:cNvPicPr>
          </xdr:nvPicPr>
          <xdr:blipFill>
            <a:blip xmlns:r="http://schemas.openxmlformats.org/officeDocument/2006/relationships" r:embed="rId17"/>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135466</xdr:colOff>
      <xdr:row>4</xdr:row>
      <xdr:rowOff>93134</xdr:rowOff>
    </xdr:from>
    <xdr:to>
      <xdr:col>50</xdr:col>
      <xdr:colOff>0</xdr:colOff>
      <xdr:row>27</xdr:row>
      <xdr:rowOff>50800</xdr:rowOff>
    </xdr:to>
    <xdr:pic>
      <xdr:nvPicPr>
        <xdr:cNvPr id="13" name="Obrázek 12">
          <a:extLst>
            <a:ext uri="{FF2B5EF4-FFF2-40B4-BE49-F238E27FC236}">
              <a16:creationId xmlns:a16="http://schemas.microsoft.com/office/drawing/2014/main" id="{22F67E18-9B08-1111-9FED-20655E5CFFDA}"/>
            </a:ext>
          </a:extLst>
        </xdr:cNvPr>
        <xdr:cNvPicPr>
          <a:picLocks noChangeAspect="1"/>
        </xdr:cNvPicPr>
      </xdr:nvPicPr>
      <xdr:blipFill>
        <a:blip xmlns:r="http://schemas.openxmlformats.org/officeDocument/2006/relationships" r:embed="rId35"/>
        <a:stretch>
          <a:fillRect/>
        </a:stretch>
      </xdr:blipFill>
      <xdr:spPr>
        <a:xfrm>
          <a:off x="135466" y="753534"/>
          <a:ext cx="15104534" cy="4250266"/>
        </a:xfrm>
        <a:prstGeom prst="rect">
          <a:avLst/>
        </a:prstGeom>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2930049"/>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2930050"/>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2930051"/>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2930052"/>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2930053"/>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2930054"/>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2930055"/>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2930056"/>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2930057"/>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2930058"/>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2930059"/>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2930060"/>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2930061"/>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2930062"/>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2930063"/>
                </a:ext>
              </a:extLst>
            </xdr:cNvPicPr>
          </xdr:nvPicPr>
          <xdr:blipFill>
            <a:blip xmlns:r="http://schemas.openxmlformats.org/officeDocument/2006/relationships" r:embed="rId8"/>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2930064"/>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2930065"/>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2930066"/>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2930067"/>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2930068"/>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2930069"/>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2930070"/>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2930071"/>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2930072"/>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2930073"/>
                </a:ext>
              </a:extLst>
            </xdr:cNvPicPr>
          </xdr:nvPicPr>
          <xdr:blipFill>
            <a:blip xmlns:r="http://schemas.openxmlformats.org/officeDocument/2006/relationships" r:embed="rId9"/>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2930074"/>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2930075"/>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2930076"/>
                </a:ext>
              </a:extLst>
            </xdr:cNvPicPr>
          </xdr:nvPicPr>
          <xdr:blipFill>
            <a:blip xmlns:r="http://schemas.openxmlformats.org/officeDocument/2006/relationships" r:embed="rId8"/>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2930077"/>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2930078"/>
                </a:ext>
              </a:extLst>
            </xdr:cNvPicPr>
          </xdr:nvPicPr>
          <xdr:blipFill>
            <a:blip xmlns:r="http://schemas.openxmlformats.org/officeDocument/2006/relationships" r:embed="rId10"/>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2930079"/>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2930080"/>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2930081"/>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2930082"/>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2930083"/>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2930084"/>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2930085"/>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2930086"/>
                </a:ext>
              </a:extLst>
            </xdr:cNvPicPr>
          </xdr:nvPicPr>
          <xdr:blipFill>
            <a:blip xmlns:r="http://schemas.openxmlformats.org/officeDocument/2006/relationships" r:embed="rId7"/>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2930087"/>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2930088"/>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2930089"/>
                </a:ext>
              </a:extLst>
            </xdr:cNvPicPr>
          </xdr:nvPicPr>
          <xdr:blipFill>
            <a:blip xmlns:r="http://schemas.openxmlformats.org/officeDocument/2006/relationships" r:embed="rId8"/>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2930090"/>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2930091"/>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2930092"/>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2930093"/>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2930094"/>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2930095"/>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2930096"/>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2930097"/>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2930098"/>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2930099"/>
                </a:ext>
              </a:extLst>
            </xdr:cNvPicPr>
          </xdr:nvPicPr>
          <xdr:blipFill>
            <a:blip xmlns:r="http://schemas.openxmlformats.org/officeDocument/2006/relationships" r:embed="rId7"/>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2930100"/>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1441"/>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1442"/>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152400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1443"/>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190500</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1444"/>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106469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2906136"/>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28998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2906137"/>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447675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2884647"/>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2884648"/>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19962</xdr:colOff>
          <xdr:row>16</xdr:row>
          <xdr:rowOff>172508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3870"/>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20109</xdr:colOff>
          <xdr:row>26</xdr:row>
          <xdr:rowOff>207857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3871"/>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showZero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97" t="str">
        <f>VLOOKUP(V39,kombinace_1!$EJ$3:$EK$8,2,0)</f>
        <v>SK</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97"/>
    </row>
    <row r="4" spans="1:32" ht="24" customHeight="1">
      <c r="K4" s="495" t="str">
        <f>'Translate&amp;Prices&amp;Logo'!$B$245</f>
        <v>Objednávkový formulár ALU rámčekov</v>
      </c>
      <c r="L4" s="495"/>
      <c r="M4" s="495"/>
      <c r="N4" s="495"/>
      <c r="O4" s="495"/>
      <c r="P4" s="495"/>
      <c r="Q4" s="495"/>
      <c r="R4" s="495"/>
      <c r="S4" s="495"/>
      <c r="T4" s="495"/>
      <c r="U4" s="495"/>
      <c r="V4" s="495"/>
    </row>
    <row r="5" spans="1:32" ht="11.85" customHeight="1">
      <c r="K5" s="495"/>
      <c r="L5" s="495"/>
      <c r="M5" s="495"/>
      <c r="N5" s="495"/>
      <c r="O5" s="495"/>
      <c r="P5" s="495"/>
      <c r="Q5" s="495"/>
      <c r="R5" s="495"/>
      <c r="S5" s="495"/>
      <c r="T5" s="495"/>
      <c r="U5" s="495"/>
      <c r="V5" s="495"/>
    </row>
    <row r="6" spans="1:32" ht="11.85" customHeight="1">
      <c r="K6" s="496"/>
      <c r="L6" s="496"/>
      <c r="M6" s="496"/>
      <c r="N6" s="496"/>
      <c r="O6" s="496"/>
      <c r="P6" s="496"/>
      <c r="Q6" s="496"/>
      <c r="R6" s="496"/>
      <c r="S6" s="496"/>
      <c r="T6" s="496"/>
      <c r="U6" s="496"/>
      <c r="V6" s="496"/>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494" t="str">
        <f>'Translate&amp;Prices&amp;Logo'!$B$308</f>
        <v>Bežné rámčeky</v>
      </c>
      <c r="C14" s="494"/>
      <c r="D14" s="494"/>
      <c r="E14" s="494"/>
      <c r="F14" s="494"/>
      <c r="G14" s="494"/>
      <c r="J14" s="127"/>
      <c r="K14" s="127"/>
      <c r="L14" s="127"/>
      <c r="Q14" s="494" t="str">
        <f>'Translate&amp;Prices&amp;Logo'!$B$309</f>
        <v>Posuvné rámčeky</v>
      </c>
      <c r="R14" s="494"/>
      <c r="S14" s="494"/>
      <c r="T14" s="494"/>
      <c r="U14" s="494"/>
      <c r="V14" s="6"/>
      <c r="W14" s="6"/>
      <c r="X14" s="6"/>
      <c r="AE14" s="6"/>
      <c r="AF14" s="6"/>
    </row>
    <row r="15" spans="1:32" ht="15" customHeight="1">
      <c r="A15" s="127"/>
      <c r="B15" s="494"/>
      <c r="C15" s="494"/>
      <c r="D15" s="494"/>
      <c r="E15" s="494"/>
      <c r="F15" s="494"/>
      <c r="G15" s="494"/>
      <c r="J15" s="127"/>
      <c r="K15" s="127"/>
      <c r="L15" s="127"/>
      <c r="Q15" s="494"/>
      <c r="R15" s="494"/>
      <c r="S15" s="494"/>
      <c r="T15" s="494"/>
      <c r="U15" s="494"/>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494" t="str">
        <f>'Translate&amp;Prices&amp;Logo'!$B$581</f>
        <v>Objednávka skla</v>
      </c>
      <c r="K21" s="494"/>
      <c r="L21" s="494"/>
      <c r="M21" s="494"/>
      <c r="N21" s="494"/>
      <c r="O21" s="494"/>
      <c r="Z21" s="6"/>
      <c r="AA21" s="6"/>
      <c r="AB21" s="6"/>
      <c r="AC21" s="6"/>
      <c r="AD21" s="6"/>
      <c r="AE21" s="6"/>
      <c r="AF21" s="6"/>
    </row>
    <row r="22" spans="1:32" ht="11.85" customHeight="1">
      <c r="J22" s="494"/>
      <c r="K22" s="494"/>
      <c r="L22" s="494"/>
      <c r="M22" s="494"/>
      <c r="N22" s="494"/>
      <c r="O22" s="494"/>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494" t="str">
        <f>'Translate&amp;Prices&amp;Logo'!$B$279</f>
        <v>Farby LACOBEL A MATELAC</v>
      </c>
      <c r="C28" s="494"/>
      <c r="D28" s="494"/>
      <c r="E28" s="494"/>
      <c r="F28" s="494"/>
      <c r="G28" s="494"/>
      <c r="J28" s="127"/>
      <c r="K28" s="127"/>
      <c r="L28" s="127"/>
      <c r="Q28" s="494" t="str">
        <f>'Translate&amp;Prices&amp;Logo'!$B$310</f>
        <v>Nákresy profilov a spoj. kovania</v>
      </c>
      <c r="R28" s="494"/>
      <c r="S28" s="494"/>
      <c r="T28" s="494"/>
      <c r="U28" s="494"/>
      <c r="V28" s="131"/>
    </row>
    <row r="29" spans="1:32" ht="15" customHeight="1">
      <c r="A29" s="127"/>
      <c r="B29" s="494"/>
      <c r="C29" s="494"/>
      <c r="D29" s="494"/>
      <c r="E29" s="494"/>
      <c r="F29" s="494"/>
      <c r="G29" s="494"/>
      <c r="J29" s="127"/>
      <c r="K29" s="127"/>
      <c r="L29" s="127"/>
      <c r="Q29" s="494"/>
      <c r="R29" s="494"/>
      <c r="S29" s="494"/>
      <c r="T29" s="494"/>
      <c r="U29" s="494"/>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10" t="str">
        <f>'Translate&amp;Prices&amp;Logo'!$B$247</f>
        <v>Ceny sú platné od  27.1.2026/Verzia 8.2</v>
      </c>
    </row>
    <row r="39" spans="1:22" ht="11.85" hidden="1" customHeight="1">
      <c r="V39" s="152">
        <v>2</v>
      </c>
    </row>
  </sheetData>
  <sheetProtection algorithmName="SHA-512" hashValue="GSSqDMQP+sf1D1xaAV7RtNwE7tOPoloengwXj/8zpC0fUjMyIm6kkHFDjTH1DRV1dkCCOIghFdxZz1+X+sCAIQ==" saltValue="ZID8fhc6IfSYPnHgX/sYOA=="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S32" workbookViewId="0">
      <selection activeCell="AB41" sqref="AB4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'Translate&amp;Prices&amp;Logo'!B553</f>
        <v>Naložený</v>
      </c>
      <c r="DP2" t="str">
        <f>'Translate&amp;Prices&amp;Logo'!$B$551</f>
        <v>Závesy</v>
      </c>
      <c r="DQ2">
        <v>2</v>
      </c>
      <c r="ED2" t="s">
        <v>1649</v>
      </c>
      <c r="EE2" t="s">
        <v>3242</v>
      </c>
      <c r="ER2" t="s">
        <v>2157</v>
      </c>
      <c r="ES2" t="s">
        <v>2162</v>
      </c>
      <c r="EV2">
        <v>2</v>
      </c>
      <c r="EW2" t="s">
        <v>2179</v>
      </c>
      <c r="EY2" s="213" t="str">
        <f>'Translate&amp;Prices&amp;Logo'!B164</f>
        <v>sieťka alu zlatá - rozmer oka 10x6x1 mm</v>
      </c>
      <c r="FA2" s="34" t="str">
        <f>'Translate&amp;Prices&amp;Logo'!B644</f>
        <v>520405 SALICE AIR SOFT niklový závěs s úhlem otevírání 92° sada 2ks</v>
      </c>
      <c r="FC2" t="b">
        <v>0</v>
      </c>
    </row>
    <row r="3" spans="1:159">
      <c r="A3" t="str">
        <f>'Translate&amp;Prices&amp;Logo'!$B$6</f>
        <v>BRW (elox.) - maximálna odporúčaná odporúčaná dĺžka profilu 2500 mm</v>
      </c>
      <c r="B3">
        <v>1</v>
      </c>
      <c r="C3" t="s">
        <v>651</v>
      </c>
      <c r="D3">
        <v>1</v>
      </c>
      <c r="F3" t="s">
        <v>950</v>
      </c>
      <c r="G3" t="s">
        <v>382</v>
      </c>
      <c r="H3" t="s">
        <v>951</v>
      </c>
      <c r="I3">
        <v>1</v>
      </c>
      <c r="J3">
        <v>2</v>
      </c>
      <c r="K3" t="s">
        <v>651</v>
      </c>
      <c r="M3" t="s">
        <v>952</v>
      </c>
      <c r="N3" t="s">
        <v>554</v>
      </c>
      <c r="X3" t="str">
        <f>'Translate&amp;Prices&amp;Logo'!$B$563</f>
        <v>transparentné</v>
      </c>
      <c r="Y3">
        <v>1</v>
      </c>
      <c r="AA3" t="s">
        <v>2083</v>
      </c>
      <c r="AB3" t="s">
        <v>1009</v>
      </c>
      <c r="AF3" t="s">
        <v>105</v>
      </c>
      <c r="AG3" t="s">
        <v>2377</v>
      </c>
      <c r="AY3" t="s">
        <v>984</v>
      </c>
      <c r="BK3" t="s">
        <v>105</v>
      </c>
      <c r="BU3" t="e">
        <f>VLOOKUP(BU2,BV2:BW9,2,0)</f>
        <v>#N/A</v>
      </c>
      <c r="BV3" t="s">
        <v>1015</v>
      </c>
      <c r="BW3" t="s">
        <v>1012</v>
      </c>
      <c r="BY3" t="str">
        <f>'Translate&amp;Prices&amp;Logo'!$B$230</f>
        <v>Vľavo</v>
      </c>
      <c r="BZ3">
        <v>1</v>
      </c>
      <c r="CA3">
        <v>32</v>
      </c>
      <c r="CD3" t="s">
        <v>2374</v>
      </c>
      <c r="CE3">
        <v>1</v>
      </c>
      <c r="CF3">
        <v>1</v>
      </c>
      <c r="DN3" t="e">
        <f>IF(OR(Ram_1!$H$13&amp;Ram_1!$AU$7=Ram_1!$M$44,
Ram_1!$H$13&amp;Ram_1!$AU$7=Ram_1!$M$45,
Ram_1!$H$13&amp;Ram_1!$AU$7=Ram_1!$M$46,
Ram_1!$H$13&amp;Ram_1!$AU$7=Ram_1!$M$47),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sieťka ocel čierna mat - rozmer oka 8x4x1 mm</v>
      </c>
      <c r="FA3" s="34" t="str">
        <f>'Translate&amp;Prices&amp;Logo'!B645</f>
        <v>520406 SALICE AIR PUSH TO OPEN niklový závěs s adaptérem sada 2ks</v>
      </c>
    </row>
    <row r="4" spans="1:159">
      <c r="A4" t="str">
        <f>'Translate&amp;Prices&amp;Logo'!$B$8</f>
        <v>BRW biela matt RAL 9003 - maximálna odporúčaná dĺžka profilu 2500 mm</v>
      </c>
      <c r="B4">
        <v>1</v>
      </c>
      <c r="C4" t="s">
        <v>651</v>
      </c>
      <c r="D4">
        <v>0</v>
      </c>
      <c r="G4" t="s">
        <v>951</v>
      </c>
      <c r="H4" t="s">
        <v>382</v>
      </c>
      <c r="I4">
        <v>0</v>
      </c>
      <c r="J4">
        <v>2</v>
      </c>
      <c r="K4" t="s">
        <v>651</v>
      </c>
      <c r="M4" t="s">
        <v>955</v>
      </c>
      <c r="N4" t="s">
        <v>856</v>
      </c>
      <c r="X4" t="str">
        <f>'Translate&amp;Prices&amp;Logo'!$B$564</f>
        <v>biela</v>
      </c>
      <c r="Y4">
        <v>2</v>
      </c>
      <c r="AA4" t="s">
        <v>954</v>
      </c>
      <c r="AB4" t="s">
        <v>2374</v>
      </c>
      <c r="AC4">
        <v>1</v>
      </c>
      <c r="AD4">
        <v>1</v>
      </c>
      <c r="AF4" t="s">
        <v>106</v>
      </c>
      <c r="AG4" t="s">
        <v>2377</v>
      </c>
      <c r="AY4" t="s">
        <v>984</v>
      </c>
      <c r="AZ4" t="s">
        <v>1017</v>
      </c>
      <c r="BK4" t="s">
        <v>106</v>
      </c>
      <c r="BV4" t="s">
        <v>1016</v>
      </c>
      <c r="BW4" t="s">
        <v>1011</v>
      </c>
      <c r="BY4" t="str">
        <f>'Translate&amp;Prices&amp;Logo'!$B$229</f>
        <v>Vpravo</v>
      </c>
      <c r="BZ4">
        <v>2</v>
      </c>
      <c r="CA4">
        <v>64</v>
      </c>
      <c r="CD4" t="s">
        <v>2154</v>
      </c>
      <c r="CE4">
        <v>1</v>
      </c>
      <c r="CF4">
        <v>0</v>
      </c>
      <c r="DN4" t="e">
        <f>IF(OR(Ram_1!$H$13&amp;Ram_1!$AU$7=Ram_1!$M$44,
Ram_1!$H$13&amp;Ram_1!$AU$7=Ram_1!$M$45,
Ram_1!$H$13&amp;Ram_1!$AU$7=Ram_1!$M$46,
Ram_1!$H$13&amp;Ram_1!$AU$7=Ram_1!$M$47),
'Translate&amp;Prices&amp;Logo'!B657,'Translate&amp;Prices&amp;Logo'!B555)</f>
        <v>#N/A</v>
      </c>
      <c r="ED4" t="s">
        <v>1651</v>
      </c>
      <c r="EE4" t="s">
        <v>3247</v>
      </c>
      <c r="EJ4">
        <v>2</v>
      </c>
      <c r="EK4" t="s">
        <v>114</v>
      </c>
      <c r="EN4" t="str">
        <f>'Translate&amp;Prices&amp;Logo'!B639</f>
        <v>Kalené (termín dodania 4 týždne)</v>
      </c>
      <c r="EO4">
        <v>2</v>
      </c>
      <c r="ER4" t="s">
        <v>2449</v>
      </c>
      <c r="ES4" t="s">
        <v>2450</v>
      </c>
      <c r="EV4">
        <v>4</v>
      </c>
      <c r="EW4" t="s">
        <v>2181</v>
      </c>
      <c r="EY4" s="213" t="str">
        <f>'Translate&amp;Prices&amp;Logo'!B166</f>
        <v>sieťka ocel biela - rozmer oka 8x4x1 mm</v>
      </c>
      <c r="FA4" s="34" t="str">
        <f>'Translate&amp;Prices&amp;Logo'!B646</f>
        <v>520407 SALICE AIR PUSH TO OPEN niklový závěs s adaptérem sada 2ks</v>
      </c>
    </row>
    <row r="5" spans="1:159">
      <c r="A5" t="str">
        <f>'Translate&amp;Prices&amp;Logo'!$B$9</f>
        <v>BRW biela lesk RAL 9003 - maximálna odporúčaná dĺžka profilu 2500 mm</v>
      </c>
      <c r="B5">
        <v>1</v>
      </c>
      <c r="C5" t="s">
        <v>651</v>
      </c>
      <c r="D5">
        <v>0</v>
      </c>
      <c r="F5" t="s">
        <v>957</v>
      </c>
      <c r="G5" t="s">
        <v>381</v>
      </c>
      <c r="H5" t="s">
        <v>951</v>
      </c>
      <c r="I5">
        <v>1</v>
      </c>
      <c r="J5">
        <v>2</v>
      </c>
      <c r="K5" t="s">
        <v>651</v>
      </c>
      <c r="M5" t="s">
        <v>958</v>
      </c>
      <c r="N5" t="s">
        <v>556</v>
      </c>
      <c r="X5" t="str">
        <f>'Translate&amp;Prices&amp;Logo'!$B$565</f>
        <v>čierna</v>
      </c>
      <c r="Y5">
        <v>3</v>
      </c>
      <c r="AA5" t="s">
        <v>954</v>
      </c>
      <c r="AB5" t="s">
        <v>2378</v>
      </c>
      <c r="AC5">
        <v>0</v>
      </c>
      <c r="AD5">
        <v>0</v>
      </c>
      <c r="AF5" t="s">
        <v>105</v>
      </c>
      <c r="AG5" t="s">
        <v>2379</v>
      </c>
      <c r="AY5" t="s">
        <v>984</v>
      </c>
      <c r="AZ5" t="s">
        <v>1018</v>
      </c>
      <c r="BK5" t="s">
        <v>961</v>
      </c>
      <c r="BV5" t="s">
        <v>2501</v>
      </c>
      <c r="BW5" t="s">
        <v>2502</v>
      </c>
      <c r="BY5" t="str">
        <f>'Translate&amp;Prices&amp;Logo'!$B$227</f>
        <v>Navrchu</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sieťka elox - rozmer oka 10x6x1 mm</v>
      </c>
      <c r="FA5" s="34" t="str">
        <f>'Translate&amp;Prices&amp;Logo'!B647</f>
        <v>520408 SALICE AIR SOFT niklový závěs s adaptérem sada 2ks</v>
      </c>
    </row>
    <row r="6" spans="1:159">
      <c r="A6" t="str">
        <f>'Translate&amp;Prices&amp;Logo'!$B$11</f>
        <v>BRW brúsené - maximálna odporúčaná dĺžka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čierna matt - maximálna odporúčaná dĺžka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čierna brúsená - maximálna odporúčaná dĺžka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svetlá nerez (INOX ACIER gratta)- maximálna odporúčaná dĺžka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maximálna odporúčaná dĺžka profilu 2500 mm</v>
      </c>
      <c r="B10">
        <v>1</v>
      </c>
      <c r="C10" t="s">
        <v>651</v>
      </c>
      <c r="D10">
        <v>0</v>
      </c>
      <c r="M10" t="str">
        <f>'Translate&amp;Prices&amp;Logo'!B558</f>
        <v>horizontálne (termín dodania 4 týždne)</v>
      </c>
      <c r="N10">
        <f>IF(Ram_1!$H$9=kombinace_1!M10,1,0)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maximálna odporúčaná dĺžka profilu 2500 mm</v>
      </c>
      <c r="B11">
        <v>1</v>
      </c>
      <c r="C11" t="s">
        <v>651</v>
      </c>
      <c r="D11">
        <v>0</v>
      </c>
      <c r="M11" t="str">
        <f>'Translate&amp;Prices&amp;Logo'!B559</f>
        <v>Vertikálne (termín dodania 4 týždne)</v>
      </c>
      <c r="N11">
        <f>IF(Ram_1!$H$9=kombinace_1!M11,2,0)</f>
        <v>0</v>
      </c>
      <c r="AC11">
        <v>0</v>
      </c>
      <c r="AD11">
        <v>0</v>
      </c>
      <c r="AF11" t="s">
        <v>105</v>
      </c>
      <c r="AG11" t="s">
        <v>969</v>
      </c>
      <c r="AY11" t="s">
        <v>954</v>
      </c>
      <c r="AZ11" t="s">
        <v>1023</v>
      </c>
      <c r="BQ11" s="215" t="s">
        <v>2267</v>
      </c>
      <c r="BY11">
        <v>5</v>
      </c>
      <c r="CA11">
        <v>240</v>
      </c>
      <c r="CD11" t="str">
        <f>CONCATENATE('Translate&amp;Prices&amp;Logo'!B664,"_K12")</f>
        <v>dolný_K12</v>
      </c>
      <c r="CE11">
        <v>1</v>
      </c>
      <c r="CF11">
        <v>0</v>
      </c>
      <c r="DN11" t="s">
        <v>69</v>
      </c>
      <c r="DO11" s="2" t="s">
        <v>69</v>
      </c>
      <c r="ED11" t="s">
        <v>1658</v>
      </c>
      <c r="EE11" t="s">
        <v>1752</v>
      </c>
      <c r="ER11" t="s">
        <v>2159</v>
      </c>
      <c r="ES11" t="s">
        <v>2165</v>
      </c>
    </row>
    <row r="12" spans="1:159">
      <c r="A12" t="str">
        <f>'Translate&amp;Prices&amp;Logo'!$B$70</f>
        <v>BRW champagne light - maximálna odporúčaná dĺžka profilu 2500 mm</v>
      </c>
      <c r="B12">
        <v>1</v>
      </c>
      <c r="C12" t="s">
        <v>651</v>
      </c>
      <c r="D12">
        <v>0</v>
      </c>
      <c r="M12" t="str">
        <f>'Translate&amp;Prices&amp;Logo'!B560</f>
        <v>Horizontálne aj vertikálne (termín dodania 4 týždne)</v>
      </c>
      <c r="N12">
        <f>IF(Ram_1!$H$9=kombinace_1!M12,3,0)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maximálna odporúčaná dĺžka profilu 2500 mm</v>
      </c>
      <c r="B13">
        <v>1</v>
      </c>
      <c r="C13" t="s">
        <v>651</v>
      </c>
      <c r="D13">
        <v>0</v>
      </c>
      <c r="AC13">
        <v>0</v>
      </c>
      <c r="AD13">
        <v>0</v>
      </c>
      <c r="AF13" t="s">
        <v>105</v>
      </c>
      <c r="AG13" t="s">
        <v>972</v>
      </c>
      <c r="AY13" t="s">
        <v>954</v>
      </c>
      <c r="AZ13" t="s">
        <v>1025</v>
      </c>
      <c r="BQ13" s="216"/>
      <c r="BR13" t="s">
        <v>966</v>
      </c>
      <c r="BY13" t="str">
        <f>'Translate&amp;Prices&amp;Logo'!$B$558</f>
        <v>horizontálne (termín dodania 4 týždne)</v>
      </c>
      <c r="BZ13">
        <v>1</v>
      </c>
      <c r="CA13">
        <v>288</v>
      </c>
      <c r="CD13" t="str">
        <f>CONCATENATE('Translate&amp;Prices&amp;Logo'!B664,"_kraby")</f>
        <v>dolný_kraby</v>
      </c>
      <c r="CE13">
        <v>1</v>
      </c>
      <c r="CF13">
        <v>0</v>
      </c>
      <c r="DN13" t="s">
        <v>220</v>
      </c>
      <c r="DO13" s="2" t="s">
        <v>68</v>
      </c>
      <c r="ED13" t="s">
        <v>2511</v>
      </c>
      <c r="EE13" t="s">
        <v>2510</v>
      </c>
      <c r="ER13" t="s">
        <v>2161</v>
      </c>
      <c r="ES13" t="s">
        <v>2161</v>
      </c>
    </row>
    <row r="14" spans="1:159">
      <c r="A14" t="str">
        <f>'Translate&amp;Prices&amp;Logo'!$B$16</f>
        <v>BRW tmavá nerez brúsená (INOX LIJA) - maximálna odporúčaná dĺžka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Vertikálne (termín dodania 4 týždne)</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maximálna odporúčaná dĺžka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Horizontálne aj vertikálne (termín dodania 4 týždne)</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maximálna odporúčaná dĺžka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StrongLift_horný</v>
      </c>
      <c r="CE16">
        <v>1</v>
      </c>
      <c r="CF16">
        <v>1</v>
      </c>
      <c r="DN16" t="s">
        <v>284</v>
      </c>
      <c r="DO16" s="2" t="s">
        <v>68</v>
      </c>
      <c r="ED16" t="s">
        <v>1662</v>
      </c>
      <c r="EE16" t="s">
        <v>1756</v>
      </c>
      <c r="ER16" t="s">
        <v>2450</v>
      </c>
      <c r="ES16" t="s">
        <v>2450</v>
      </c>
      <c r="FC16" s="251"/>
    </row>
    <row r="17" spans="1:159">
      <c r="A17" t="str">
        <f>'Translate&amp;Prices&amp;Logo'!$B$55</f>
        <v>BRW zlatá brúsená - maximálna odporúčaná dĺžka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StrongLift_spodný</v>
      </c>
      <c r="CE17">
        <v>1</v>
      </c>
      <c r="CF17">
        <v>1</v>
      </c>
      <c r="DN17" t="s">
        <v>1244</v>
      </c>
      <c r="DO17" s="2" t="s">
        <v>69</v>
      </c>
      <c r="ED17" t="s">
        <v>1663</v>
      </c>
      <c r="EE17" t="s">
        <v>1757</v>
      </c>
      <c r="ER17" t="s">
        <v>2452</v>
      </c>
      <c r="ES17" t="s">
        <v>2452</v>
      </c>
      <c r="FC17" s="251"/>
    </row>
    <row r="18" spans="1:159">
      <c r="A18" t="str">
        <f>'Translate&amp;Prices&amp;Logo'!$B$17</f>
        <v>Corleone (elox.) - maximálna odporúčaná dĺžka profilu 1500 mm</v>
      </c>
      <c r="B18">
        <v>2</v>
      </c>
      <c r="C18" t="s">
        <v>651</v>
      </c>
      <c r="D18">
        <v>0</v>
      </c>
      <c r="E18">
        <v>3</v>
      </c>
      <c r="F18" t="str">
        <f>'Translate&amp;Prices&amp;Logo'!$B$80</f>
        <v>Rocca elox (Vľavo a vpravo) + Varna elox (Hore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čierne mat - maximálna odporúčaná dĺžka profilu 1500 mm</v>
      </c>
      <c r="B19">
        <v>2</v>
      </c>
      <c r="C19" t="s">
        <v>651</v>
      </c>
      <c r="D19">
        <v>0</v>
      </c>
      <c r="F19" t="str">
        <f>'Translate&amp;Prices&amp;Logo'!$B$81</f>
        <v>Rocca čierna (Vľavo a vpravo) + Varna čierna (Hore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čierna mat - maximálna odporúčaná dĺžka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maximálna odporúčaná dĺžka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maximálna odporúčaná dĺžka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čierna mat - maximálna odporúčaná dĺžka profilu 2500 mm</v>
      </c>
      <c r="B23">
        <v>2</v>
      </c>
      <c r="C23" t="s">
        <v>998</v>
      </c>
      <c r="D23">
        <v>0</v>
      </c>
      <c r="AA23" t="s">
        <v>966</v>
      </c>
      <c r="AB23" t="e">
        <f>IF(Ram_1!AU7=2,"FREEspace","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biela matt RAL 9003 - maximálna odporúčaná dĺžka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maximálna odporúčaná dĺžka profilu 2150 mm</v>
      </c>
      <c r="B25">
        <v>2</v>
      </c>
      <c r="C25" t="s">
        <v>998</v>
      </c>
      <c r="D25">
        <v>0</v>
      </c>
      <c r="AF25" t="s">
        <v>105</v>
      </c>
      <c r="AG25" t="s">
        <v>980</v>
      </c>
      <c r="ED25" t="s">
        <v>1671</v>
      </c>
      <c r="EE25" t="s">
        <v>3259</v>
      </c>
      <c r="ER25" t="s">
        <v>2171</v>
      </c>
      <c r="ES25" t="s">
        <v>2171</v>
      </c>
    </row>
    <row r="26" spans="1:159">
      <c r="A26" t="str">
        <f>'Translate&amp;Prices&amp;Logo'!$B$22</f>
        <v>Modena (elox.) - maximálna odporúčaná dĺžka profilu 2500 mm</v>
      </c>
      <c r="B26">
        <v>2</v>
      </c>
      <c r="C26" t="s">
        <v>651</v>
      </c>
      <c r="D26">
        <v>0</v>
      </c>
      <c r="AF26" t="s">
        <v>106</v>
      </c>
      <c r="AG26" t="s">
        <v>980</v>
      </c>
      <c r="ED26" t="s">
        <v>1672</v>
      </c>
      <c r="EE26" t="s">
        <v>3260</v>
      </c>
      <c r="ER26" t="s">
        <v>2172</v>
      </c>
      <c r="ES26" t="s">
        <v>2172</v>
      </c>
    </row>
    <row r="27" spans="1:159">
      <c r="A27" t="str">
        <f>'Translate&amp;Prices&amp;Logo'!$B$23</f>
        <v>Modena čierna matt - maximálna odporúčaná dĺžka profilu 2500 mm</v>
      </c>
      <c r="B27">
        <v>2</v>
      </c>
      <c r="C27" t="s">
        <v>651</v>
      </c>
      <c r="D27">
        <v>0</v>
      </c>
      <c r="AF27" t="s">
        <v>105</v>
      </c>
      <c r="AG27" t="s">
        <v>981</v>
      </c>
      <c r="ED27" t="s">
        <v>1673</v>
      </c>
      <c r="EE27" t="s">
        <v>3262</v>
      </c>
      <c r="ER27" t="s">
        <v>2173</v>
      </c>
      <c r="ES27" t="s">
        <v>2173</v>
      </c>
    </row>
    <row r="28" spans="1:159">
      <c r="A28" t="str">
        <f>'Translate&amp;Prices&amp;Logo'!$B$25</f>
        <v>Modena čierna brúsená - maximálna odporúčaná dĺžka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brúsená LIJA - maximálna odporúčaná dĺžka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maximálna odporúčaná dĺžka profilu 2500 mm</v>
      </c>
      <c r="B30">
        <v>2</v>
      </c>
      <c r="C30" t="s">
        <v>651</v>
      </c>
      <c r="D30">
        <v>0</v>
      </c>
      <c r="AA30" t="s">
        <v>976</v>
      </c>
      <c r="AB30" t="str">
        <f>CONCATENATE('Translate&amp;Prices&amp;Logo'!B664,"_K12")</f>
        <v>dolný_K12</v>
      </c>
      <c r="AC30">
        <v>1</v>
      </c>
      <c r="AD30">
        <v>0</v>
      </c>
      <c r="AF30" t="s">
        <v>106</v>
      </c>
      <c r="AG30" t="s">
        <v>982</v>
      </c>
      <c r="ED30" t="s">
        <v>1676</v>
      </c>
      <c r="EE30" t="s">
        <v>3265</v>
      </c>
      <c r="ER30" t="s">
        <v>2463</v>
      </c>
      <c r="ES30" t="s">
        <v>2463</v>
      </c>
    </row>
    <row r="31" spans="1:159">
      <c r="A31" t="str">
        <f>'Translate&amp;Prices&amp;Logo'!$B$29</f>
        <v>Pisa (elox.) - maximálna odporúčaná dĺžka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biela mat RAL 9003 - maximálna odporúčaná dĺžka profilu 2500 mm</v>
      </c>
      <c r="B32">
        <v>2</v>
      </c>
      <c r="C32" t="s">
        <v>998</v>
      </c>
      <c r="D32">
        <v>0</v>
      </c>
      <c r="AA32" t="s">
        <v>976</v>
      </c>
      <c r="AB32" t="str">
        <f>CONCATENATE('Translate&amp;Prices&amp;Logo'!B664,"_kraby")</f>
        <v>dolný_kraby</v>
      </c>
      <c r="AC32">
        <v>1</v>
      </c>
      <c r="AD32">
        <v>0</v>
      </c>
      <c r="AF32" t="s">
        <v>106</v>
      </c>
      <c r="AG32" t="s">
        <v>983</v>
      </c>
      <c r="BY32" t="str">
        <f>'Translate&amp;Prices&amp;Logo'!$B$230</f>
        <v>Vľavo</v>
      </c>
      <c r="BZ32" t="str">
        <f>'Translate&amp;Prices&amp;Logo'!$B$589</f>
        <v>(Spodného)</v>
      </c>
      <c r="CA32" t="str">
        <f>'Translate&amp;Prices&amp;Logo'!$B$591</f>
        <v>(Horného)</v>
      </c>
      <c r="CC32" t="str">
        <f>'Translate&amp;Prices&amp;Logo'!$O$589</f>
        <v>(dolnej)</v>
      </c>
      <c r="CD32" t="str">
        <f>'Translate&amp;Prices&amp;Logo'!$O$591</f>
        <v>(górnej)</v>
      </c>
      <c r="ED32" t="s">
        <v>1678</v>
      </c>
      <c r="EE32" t="s">
        <v>3267</v>
      </c>
      <c r="ER32" t="s">
        <v>2465</v>
      </c>
      <c r="ES32" t="s">
        <v>2465</v>
      </c>
    </row>
    <row r="33" spans="1:149">
      <c r="A33" t="str">
        <f>'Translate&amp;Prices&amp;Logo'!$B$53</f>
        <v>Pisa biela lesk RAL 9003 - maximálna odporúčaná dĺžka profilu 2500 mm</v>
      </c>
      <c r="B33">
        <v>2</v>
      </c>
      <c r="C33" t="s">
        <v>998</v>
      </c>
      <c r="D33">
        <v>0</v>
      </c>
      <c r="AA33" t="s">
        <v>976</v>
      </c>
      <c r="AB33" t="s">
        <v>980</v>
      </c>
      <c r="AC33">
        <v>1</v>
      </c>
      <c r="AD33">
        <v>0</v>
      </c>
      <c r="AF33" t="s">
        <v>105</v>
      </c>
      <c r="AG33" t="s">
        <v>985</v>
      </c>
      <c r="BY33" t="str">
        <f>'Translate&amp;Prices&amp;Logo'!$B$229</f>
        <v>Vpravo</v>
      </c>
      <c r="BZ33" t="str">
        <f>'Translate&amp;Prices&amp;Logo'!$B$589</f>
        <v>(Spodného)</v>
      </c>
      <c r="CA33" t="str">
        <f>'Translate&amp;Prices&amp;Logo'!$B$591</f>
        <v>(Horného)</v>
      </c>
      <c r="CC33" t="str">
        <f>'Translate&amp;Prices&amp;Logo'!$O$589</f>
        <v>(dolnej)</v>
      </c>
      <c r="CD33" t="str">
        <f>'Translate&amp;Prices&amp;Logo'!$O$591</f>
        <v>(górnej)</v>
      </c>
      <c r="ED33" t="s">
        <v>1679</v>
      </c>
      <c r="EE33" t="s">
        <v>3268</v>
      </c>
      <c r="ER33" t="s">
        <v>2466</v>
      </c>
      <c r="ES33" t="s">
        <v>2466</v>
      </c>
    </row>
    <row r="34" spans="1:149">
      <c r="A34" t="str">
        <f>'Translate&amp;Prices&amp;Logo'!$B$30</f>
        <v>Pisa čierna matt - maximálna odporúčaná dĺžka profilu 2500 mm</v>
      </c>
      <c r="B34">
        <v>2</v>
      </c>
      <c r="C34" t="s">
        <v>998</v>
      </c>
      <c r="D34">
        <v>0</v>
      </c>
      <c r="AA34" t="s">
        <v>976</v>
      </c>
      <c r="AB34" t="s">
        <v>981</v>
      </c>
      <c r="AC34">
        <v>1</v>
      </c>
      <c r="AD34">
        <v>0</v>
      </c>
      <c r="AF34" t="s">
        <v>106</v>
      </c>
      <c r="AG34" t="s">
        <v>985</v>
      </c>
      <c r="BY34" t="str">
        <f>'Translate&amp;Prices&amp;Logo'!$B$227</f>
        <v>Navrchu</v>
      </c>
      <c r="BZ34" t="str">
        <f>'Translate&amp;Prices&amp;Logo'!$B$590</f>
        <v>(Ľavého)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maximálna odporúčaná dĺžka profilu 2150 mm</v>
      </c>
      <c r="B35">
        <v>2</v>
      </c>
      <c r="C35" t="s">
        <v>998</v>
      </c>
      <c r="D35">
        <v>0</v>
      </c>
      <c r="BY35" t="str">
        <f>'Translate&amp;Prices&amp;Logo'!$B$228</f>
        <v>Dole</v>
      </c>
      <c r="BZ35" t="str">
        <f>'Translate&amp;Prices&amp;Logo'!$B$590</f>
        <v>(Ľavého)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maximálna odporúčaná dĺžka profilu 2150 mm</v>
      </c>
      <c r="B36">
        <v>1</v>
      </c>
      <c r="C36" t="s">
        <v>651</v>
      </c>
      <c r="D36">
        <v>0</v>
      </c>
      <c r="ED36" t="s">
        <v>1620</v>
      </c>
      <c r="EE36" t="s">
        <v>1776</v>
      </c>
      <c r="ER36" t="s">
        <v>2176</v>
      </c>
      <c r="ES36" t="s">
        <v>2176</v>
      </c>
    </row>
    <row r="37" spans="1:149">
      <c r="A37" t="str">
        <f>'Translate&amp;Prices&amp;Logo'!$B$42</f>
        <v>Rocca čierna mat - maximálna odporúčaná dĺžka profilu 2150 mm</v>
      </c>
      <c r="B37">
        <v>1</v>
      </c>
      <c r="C37" t="s">
        <v>651</v>
      </c>
      <c r="D37">
        <v>0</v>
      </c>
      <c r="BY37" t="s">
        <v>1332</v>
      </c>
      <c r="ED37" t="s">
        <v>1621</v>
      </c>
      <c r="EE37" t="s">
        <v>1777</v>
      </c>
      <c r="ER37" t="s">
        <v>2219</v>
      </c>
      <c r="ES37" t="s">
        <v>2213</v>
      </c>
    </row>
    <row r="38" spans="1:149">
      <c r="A38" t="str">
        <f>'Translate&amp;Prices&amp;Logo'!$B$63</f>
        <v>Treviso čierna matt - maximálna odporúčaná dĺžka profilu 2750 mm</v>
      </c>
      <c r="B38">
        <v>1</v>
      </c>
      <c r="C38" t="s">
        <v>651</v>
      </c>
      <c r="D38">
        <v>0</v>
      </c>
      <c r="ED38" t="s">
        <v>1622</v>
      </c>
      <c r="EE38" t="s">
        <v>1778</v>
      </c>
      <c r="ER38" t="s">
        <v>2220</v>
      </c>
      <c r="ES38" t="s">
        <v>2214</v>
      </c>
    </row>
    <row r="39" spans="1:149">
      <c r="A39" t="str">
        <f>'Translate&amp;Prices&amp;Logo'!$B$34</f>
        <v>Verona (elox.) - maximálna odporúčaná dĺžka profilu 2500 mm</v>
      </c>
      <c r="B39">
        <v>1</v>
      </c>
      <c r="C39" t="s">
        <v>651</v>
      </c>
      <c r="D39">
        <v>0</v>
      </c>
      <c r="AA39" t="s">
        <v>2504</v>
      </c>
      <c r="AB39" t="s">
        <v>2502</v>
      </c>
      <c r="ED39" t="s">
        <v>1623</v>
      </c>
      <c r="EE39" t="s">
        <v>1779</v>
      </c>
      <c r="ER39" t="s">
        <v>2221</v>
      </c>
      <c r="ES39" t="s">
        <v>2215</v>
      </c>
    </row>
    <row r="40" spans="1:149">
      <c r="A40" t="str">
        <f>'Translate&amp;Prices&amp;Logo'!$B$35</f>
        <v>Verona brúsená - maximálna odporúčaná dĺžka profilu 2500 mm</v>
      </c>
      <c r="B40">
        <v>1</v>
      </c>
      <c r="C40" t="s">
        <v>651</v>
      </c>
      <c r="D40">
        <v>0</v>
      </c>
      <c r="AA40" t="s">
        <v>2504</v>
      </c>
      <c r="AB40" t="str">
        <f>'Translate&amp;Prices&amp;Logo'!B659</f>
        <v>StrongLift_horný</v>
      </c>
      <c r="AC40">
        <v>1</v>
      </c>
      <c r="AD40">
        <v>0</v>
      </c>
      <c r="ED40" t="s">
        <v>1624</v>
      </c>
      <c r="EE40" t="s">
        <v>1780</v>
      </c>
      <c r="ER40" t="s">
        <v>2222</v>
      </c>
      <c r="ES40" t="s">
        <v>2216</v>
      </c>
    </row>
    <row r="41" spans="1:149">
      <c r="A41" t="str">
        <f>'Translate&amp;Prices&amp;Logo'!$B$37</f>
        <v>Verona čierna mat - maximálna odporúčaná dĺžka profilu 2500 mm</v>
      </c>
      <c r="B41">
        <v>1</v>
      </c>
      <c r="C41" t="s">
        <v>651</v>
      </c>
      <c r="D41">
        <v>0</v>
      </c>
      <c r="AB41" t="str">
        <f>'Translate&amp;Prices&amp;Logo'!B660</f>
        <v>StrongLift_spodný</v>
      </c>
      <c r="AC41">
        <v>1</v>
      </c>
      <c r="AD41">
        <v>0</v>
      </c>
      <c r="ED41" t="s">
        <v>1625</v>
      </c>
      <c r="EE41" t="s">
        <v>1781</v>
      </c>
      <c r="ER41" t="s">
        <v>2223</v>
      </c>
      <c r="ES41" t="s">
        <v>2217</v>
      </c>
    </row>
    <row r="42" spans="1:149">
      <c r="A42" t="str">
        <f>'Translate&amp;Prices&amp;Logo'!$B$36</f>
        <v>Verona čierna lesk - maximálna odporúčaná dĺžka profilu 2500 mm</v>
      </c>
      <c r="B42">
        <v>1</v>
      </c>
      <c r="C42" t="s">
        <v>651</v>
      </c>
      <c r="D42">
        <v>0</v>
      </c>
      <c r="AA42" t="s">
        <v>2086</v>
      </c>
      <c r="AB42" t="s">
        <v>1010</v>
      </c>
      <c r="ED42" t="s">
        <v>1626</v>
      </c>
      <c r="EE42" t="s">
        <v>1782</v>
      </c>
      <c r="ER42" t="s">
        <v>2224</v>
      </c>
      <c r="ES42" t="s">
        <v>2218</v>
      </c>
    </row>
    <row r="43" spans="1:149">
      <c r="A43" t="str">
        <f>'Translate&amp;Prices&amp;Logo'!$B$38</f>
        <v>Verona hnědá - maximálna odporúčaná dĺžka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maximálna odporúčaná dĺžka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nerez brúsená - maximálna odporúčaná dĺžka profilu 2500 mm</v>
      </c>
      <c r="B45">
        <v>1</v>
      </c>
      <c r="C45" t="s">
        <v>651</v>
      </c>
      <c r="D45">
        <v>0</v>
      </c>
      <c r="AB45" t="s">
        <v>1111</v>
      </c>
      <c r="AC45">
        <v>0</v>
      </c>
      <c r="AD45">
        <v>0</v>
      </c>
      <c r="ED45" t="s">
        <v>1629</v>
      </c>
      <c r="EE45" t="s">
        <v>1785</v>
      </c>
      <c r="ER45" t="s">
        <v>2243</v>
      </c>
      <c r="ES45" t="s">
        <v>2237</v>
      </c>
    </row>
    <row r="46" spans="1:149">
      <c r="A46" t="str">
        <f>'Translate&amp;Prices&amp;Logo'!$B$41</f>
        <v>Verona svetlá nerez brúsená Acier - maximálna odporúčaná dĺžka profilu 2500 mm</v>
      </c>
      <c r="B46">
        <v>1</v>
      </c>
      <c r="C46" t="s">
        <v>651</v>
      </c>
      <c r="D46">
        <v>0</v>
      </c>
      <c r="ED46" t="s">
        <v>1630</v>
      </c>
      <c r="EE46" t="s">
        <v>1786</v>
      </c>
      <c r="ER46" t="s">
        <v>2244</v>
      </c>
      <c r="ES46" t="s">
        <v>2238</v>
      </c>
    </row>
    <row r="47" spans="1:149">
      <c r="A47" t="str">
        <f>'Translate&amp;Prices&amp;Logo'!$B$62</f>
        <v>Verona Ivory mat - maximálna odporúčaná dĺžka profilu 2150 mm</v>
      </c>
      <c r="B47">
        <v>1</v>
      </c>
      <c r="C47" t="s">
        <v>651</v>
      </c>
      <c r="D47">
        <v>0</v>
      </c>
      <c r="ED47" t="s">
        <v>1631</v>
      </c>
      <c r="EE47" t="s">
        <v>1787</v>
      </c>
      <c r="ER47" t="s">
        <v>2245</v>
      </c>
      <c r="ES47" t="s">
        <v>2239</v>
      </c>
    </row>
    <row r="48" spans="1:149">
      <c r="A48" t="str">
        <f>'Translate&amp;Prices&amp;Logo'!$B$65</f>
        <v>Verona kašmír - maximálna odporúčaná dĺžka profilu 2150 mm</v>
      </c>
      <c r="B48">
        <v>1</v>
      </c>
      <c r="C48" t="s">
        <v>651</v>
      </c>
      <c r="D48">
        <v>0</v>
      </c>
      <c r="ED48" t="s">
        <v>1632</v>
      </c>
      <c r="EE48" t="s">
        <v>1788</v>
      </c>
      <c r="ER48" t="s">
        <v>2246</v>
      </c>
      <c r="ES48" t="s">
        <v>2240</v>
      </c>
    </row>
    <row r="49" spans="1:149">
      <c r="A49" t="str">
        <f>'Translate&amp;Prices&amp;Logo'!$B$24</f>
        <v>Verona zlatá - maximálna odporúčaná dĺžka profilu 2150 mm</v>
      </c>
      <c r="B49">
        <v>1</v>
      </c>
      <c r="C49" t="s">
        <v>651</v>
      </c>
      <c r="D49">
        <v>0</v>
      </c>
      <c r="AA49" t="s">
        <v>2087</v>
      </c>
      <c r="AB49" t="s">
        <v>2089</v>
      </c>
      <c r="ED49" t="s">
        <v>1633</v>
      </c>
      <c r="EE49" t="s">
        <v>1789</v>
      </c>
      <c r="ER49" t="s">
        <v>2247</v>
      </c>
      <c r="ES49" t="s">
        <v>2241</v>
      </c>
    </row>
    <row r="50" spans="1:149">
      <c r="A50" t="str">
        <f>'Translate&amp;Prices&amp;Logo'!$B$56</f>
        <v>Verona zlatá brúsená - maximálna odporúčaná dĺžka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maximálna odporúčaná dĺžka profilu 2500 mm</v>
      </c>
      <c r="B51">
        <v>2</v>
      </c>
      <c r="C51" t="s">
        <v>651</v>
      </c>
      <c r="D51">
        <v>1</v>
      </c>
      <c r="AB51" t="s">
        <v>2380</v>
      </c>
      <c r="AC51">
        <v>0</v>
      </c>
      <c r="AD51">
        <v>0</v>
      </c>
      <c r="ED51" t="s">
        <v>1635</v>
      </c>
      <c r="EE51" t="s">
        <v>1791</v>
      </c>
      <c r="ER51" t="s">
        <v>2477</v>
      </c>
      <c r="ES51" t="s">
        <v>2469</v>
      </c>
    </row>
    <row r="52" spans="1:149">
      <c r="A52" t="str">
        <f>'Translate&amp;Prices&amp;Logo'!$B$44</f>
        <v>Vivaro čierne mat - maximálna odporúčaná dĺžka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maximálna odporúčaná dĺžka profilu 2500 mm</v>
      </c>
      <c r="B53">
        <v>2</v>
      </c>
      <c r="C53" t="s">
        <v>651</v>
      </c>
      <c r="D53">
        <v>0</v>
      </c>
      <c r="AB53" t="s">
        <v>2376</v>
      </c>
      <c r="AC53">
        <v>0</v>
      </c>
      <c r="AD53">
        <v>0</v>
      </c>
      <c r="ED53" t="s">
        <v>1637</v>
      </c>
      <c r="EE53" t="s">
        <v>1793</v>
      </c>
      <c r="ER53" t="s">
        <v>2479</v>
      </c>
      <c r="ES53" t="s">
        <v>2471</v>
      </c>
    </row>
    <row r="54" spans="1:149">
      <c r="A54" t="str">
        <f>'Translate&amp;Prices&amp;Logo'!$B$47</f>
        <v>Vivaro biela matt RAL 9003 - maximálna odporúčaná dĺžka profilu 2500 mm</v>
      </c>
      <c r="B54">
        <v>2</v>
      </c>
      <c r="C54" t="s">
        <v>651</v>
      </c>
      <c r="D54">
        <v>0</v>
      </c>
      <c r="ED54" t="s">
        <v>1638</v>
      </c>
      <c r="EE54" t="s">
        <v>1794</v>
      </c>
      <c r="ER54" t="s">
        <v>2480</v>
      </c>
      <c r="ES54" t="s">
        <v>2472</v>
      </c>
    </row>
    <row r="55" spans="1:149">
      <c r="A55" t="str">
        <f>'Translate&amp;Prices&amp;Logo'!$B$48</f>
        <v>Vivaro biela lesk RAL 9003 - maximálna odporúčaná dĺžka profilu 2500 mm</v>
      </c>
      <c r="B55">
        <v>2</v>
      </c>
      <c r="C55" t="s">
        <v>651</v>
      </c>
      <c r="D55">
        <v>0</v>
      </c>
      <c r="ED55" t="s">
        <v>1639</v>
      </c>
      <c r="EE55" t="s">
        <v>1795</v>
      </c>
      <c r="ER55" t="s">
        <v>2481</v>
      </c>
      <c r="ES55" t="s">
        <v>2473</v>
      </c>
    </row>
    <row r="56" spans="1:149">
      <c r="A56" t="str">
        <f>'Translate&amp;Prices&amp;Logo'!$B$31</f>
        <v>Vivaro zlatá - maximálna odporúčaná dĺžka profilu 2150 mm</v>
      </c>
      <c r="B56">
        <v>2</v>
      </c>
      <c r="C56" t="s">
        <v>651</v>
      </c>
      <c r="D56">
        <v>1</v>
      </c>
      <c r="ED56" t="s">
        <v>1640</v>
      </c>
      <c r="EE56" t="s">
        <v>1796</v>
      </c>
      <c r="ER56" t="s">
        <v>2482</v>
      </c>
      <c r="ES56" t="s">
        <v>2474</v>
      </c>
    </row>
    <row r="57" spans="1:149">
      <c r="A57" t="str">
        <f>'Translate&amp;Prices&amp;Logo'!$B$57</f>
        <v>Vivaro zlatá brúsená - maximálna odporúčaná dĺžka profilu 2150 mm</v>
      </c>
      <c r="B57">
        <v>2</v>
      </c>
      <c r="C57" t="s">
        <v>651</v>
      </c>
      <c r="D57">
        <v>0</v>
      </c>
      <c r="ED57" t="s">
        <v>1641</v>
      </c>
      <c r="EE57" t="s">
        <v>1797</v>
      </c>
      <c r="ER57" t="s">
        <v>2225</v>
      </c>
      <c r="ES57" t="s">
        <v>2213</v>
      </c>
    </row>
    <row r="58" spans="1:149">
      <c r="A58" t="str">
        <f>'Translate&amp;Prices&amp;Logo'!$B$80</f>
        <v>Rocca elox (Vľavo a vpravo) + Varna elox (Hore a dole)</v>
      </c>
      <c r="B58">
        <v>3</v>
      </c>
      <c r="C58" t="s">
        <v>651</v>
      </c>
      <c r="D58">
        <v>0</v>
      </c>
      <c r="ED58" t="s">
        <v>1642</v>
      </c>
      <c r="EE58" t="s">
        <v>1798</v>
      </c>
      <c r="ER58" t="s">
        <v>2226</v>
      </c>
      <c r="ES58" t="s">
        <v>2214</v>
      </c>
    </row>
    <row r="59" spans="1:149">
      <c r="A59" t="str">
        <f>'Translate&amp;Prices&amp;Logo'!$B$81</f>
        <v>Rocca čierna (Vľavo a vpravo) + Varna čierna (Hore a dole)</v>
      </c>
      <c r="B59">
        <v>3</v>
      </c>
      <c r="C59" t="s">
        <v>651</v>
      </c>
      <c r="D59">
        <v>0</v>
      </c>
      <c r="AA59" t="s">
        <v>2088</v>
      </c>
      <c r="AB59" t="s">
        <v>2090</v>
      </c>
      <c r="ED59" t="s">
        <v>1643</v>
      </c>
      <c r="EE59" t="s">
        <v>1799</v>
      </c>
      <c r="ER59" t="s">
        <v>2227</v>
      </c>
      <c r="ES59" t="s">
        <v>2215</v>
      </c>
    </row>
    <row r="60" spans="1:149">
      <c r="A60" t="str">
        <f>'Translate&amp;Prices&amp;Logo'!$B$71</f>
        <v>ROMA čierna mat - maximálna odporúčaná dĺžka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maximálna odporúčaná dĺžka profilu 2696 mm</v>
      </c>
      <c r="B61">
        <v>1</v>
      </c>
      <c r="C61" t="s">
        <v>651</v>
      </c>
      <c r="D61">
        <v>0</v>
      </c>
      <c r="AB61" t="s">
        <v>970</v>
      </c>
      <c r="AC61">
        <v>0</v>
      </c>
      <c r="AD61">
        <v>0</v>
      </c>
      <c r="ED61" t="s">
        <v>1645</v>
      </c>
      <c r="EE61" t="s">
        <v>1801</v>
      </c>
      <c r="ER61" t="s">
        <v>2229</v>
      </c>
      <c r="ES61" t="s">
        <v>2217</v>
      </c>
    </row>
    <row r="62" spans="1:149">
      <c r="A62" t="str">
        <f>'Translate&amp;Prices&amp;Logo'!$B$73</f>
        <v>ROMA GRIP čierna mat - maximálna odporúčaná dĺžka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maximálna odporúčaná dĺžka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maximálna odporúčaná dĺžka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"&amp;2</f>
        <v>Rámček  2</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IFERROR(IF(kombinace_2!FC2=TRUE,'Translate&amp;Prices&amp;Logo'!B654,IF(VLOOKUP(H8,kombinace_2!$A:$E,5,0)=3,'Translate&amp;Prices&amp;Logo'!B642,"")),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Rámček  1</v>
      </c>
      <c r="C5" s="634"/>
      <c r="D5" s="634"/>
      <c r="E5" s="106"/>
      <c r="F5" s="634" t="str">
        <f>'Translate&amp;Prices&amp;Logo'!$B$169&amp;" "&amp;" "&amp;2</f>
        <v>Rámček  2</v>
      </c>
      <c r="G5" s="634"/>
      <c r="H5" s="634"/>
      <c r="I5" s="9"/>
      <c r="J5" s="634" t="str">
        <f>'Translate&amp;Prices&amp;Logo'!$B$169&amp;" "&amp;" "&amp;3</f>
        <v>Rámček  3</v>
      </c>
      <c r="K5" s="634"/>
      <c r="L5" s="634"/>
      <c r="M5" s="9"/>
      <c r="N5" s="634" t="str">
        <f>'Translate&amp;Prices&amp;Logo'!$B$169&amp;" "&amp;" "&amp;4</f>
        <v>Rámček  4</v>
      </c>
      <c r="O5" s="634"/>
      <c r="P5" s="634"/>
      <c r="Q5" s="9"/>
      <c r="R5" s="634" t="str">
        <f>'Translate&amp;Prices&amp;Logo'!$B$169&amp;" "&amp;" "&amp;5</f>
        <v>Rámček  5</v>
      </c>
      <c r="S5" s="634"/>
      <c r="T5" s="634"/>
      <c r="U5" s="9"/>
      <c r="V5" s="634" t="str">
        <f>'Translate&amp;Prices&amp;Logo'!$B$169&amp;" "&amp;" "&amp;6</f>
        <v>Rámček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Kombinácia 2 profilov</v>
      </c>
      <c r="C7" s="667"/>
      <c r="D7" s="667"/>
      <c r="E7" s="667"/>
      <c r="F7" s="667"/>
      <c r="G7" s="616" t="str">
        <f>IF(kombinace_2!FC2=TRUE,AB4,"")</f>
        <v/>
      </c>
      <c r="H7" s="616"/>
      <c r="I7" s="616"/>
      <c r="J7" s="616"/>
      <c r="K7" s="616"/>
      <c r="L7" s="616"/>
      <c r="M7" s="616"/>
      <c r="N7" s="616"/>
      <c r="O7" s="616"/>
      <c r="P7" s="616"/>
      <c r="Q7" s="617"/>
      <c r="R7" s="231"/>
      <c r="S7" s="602" t="str">
        <f>'Translate&amp;Prices&amp;Logo'!$B$572</f>
        <v>Upozornenie: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VLOOKUP(H8,kombinace_2!$A3:$B100,2,0)</f>
        <v>#N/A</v>
      </c>
      <c r="AV7" s="140" t="e">
        <f>IF(AU7=2,"Široký",IF(AU7=1,"Úzký",IF(AU7=3,"kombo")))</f>
        <v>#N/A</v>
      </c>
    </row>
    <row r="8" spans="1:65" ht="45.6" customHeight="1">
      <c r="A8" s="61"/>
      <c r="B8" s="223" t="str">
        <f>'Translate&amp;Prices&amp;Logo'!$B$653</f>
        <v>Výplň rámčeka sieťka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IF(AU10&gt;0,'Translate&amp;Prices&amp;Logo'!B303,IF(H8=kombinace_2!A59,'Translate&amp;Prices&amp;Logo'!B580,0))</f>
        <v>0</v>
      </c>
      <c r="T8" s="654"/>
      <c r="U8" s="654"/>
      <c r="V8" s="654"/>
      <c r="W8" s="654"/>
      <c r="X8" s="654"/>
      <c r="Y8" s="655"/>
      <c r="Z8" s="80"/>
      <c r="AA8" s="76"/>
      <c r="AB8" s="9"/>
      <c r="AC8" s="584" t="str">
        <f>'Translate&amp;Prices&amp;Logo'!$B$242</f>
        <v>Vzdialenosť od ľavého kraja</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IFERROR(IF(AND(VLOOKUP(H8,kombinace_2!$A:$D,4,0)=1,kombinace_2!FC2=FALSE),'Translate&amp;Prices&amp;Logo'!$B$543,0),0)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IFERROR((VLOOKUP(H12,kombinace_2!$DP$2:$DQ$3,2,0)),"")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Vzdialenosť od horného okraja</v>
      </c>
      <c r="AF10" s="9"/>
      <c r="AG10" s="9"/>
      <c r="AH10" s="9"/>
      <c r="AI10" s="60"/>
      <c r="AJ10" s="61"/>
      <c r="AK10" s="9"/>
      <c r="AL10" s="9"/>
      <c r="AM10" s="9"/>
      <c r="AN10" s="9"/>
      <c r="AO10" s="9"/>
      <c r="AP10" s="77"/>
      <c r="AQ10" s="314"/>
      <c r="AR10" s="9"/>
      <c r="AS10" s="9"/>
      <c r="AT10" s="139" t="s">
        <v>1196</v>
      </c>
      <c r="AU10" s="140">
        <f>IFERROR(VLOOKUP(H9,kombinace_2!$BY$13:$BZ$15,2,0),0)</f>
        <v>0</v>
      </c>
      <c r="AV10" s="140"/>
    </row>
    <row r="11" spans="1:65" ht="18" customHeight="1">
      <c r="A11" s="61"/>
      <c r="B11" s="642" t="str">
        <f>('Translate&amp;Prices&amp;Logo'!$B$543)&amp;" "&amp;"("&amp;'Translate&amp;Prices&amp;Logo'!$B$174&amp;")"</f>
        <v>Deliace lišty (Počet kusov)</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IFERROR(IF(kombinace_2!$H$1=TRUE,BA2+AY3,0),0)</f>
        <v>0</v>
      </c>
      <c r="AU11" s="146"/>
      <c r="AV11" s="140"/>
    </row>
    <row r="12" spans="1:65" ht="18" customHeight="1">
      <c r="A12" s="61"/>
      <c r="B12" s="585" t="str">
        <f>'Translate&amp;Prices&amp;Logo'!$B$258</f>
        <v>Typ kovania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kovania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 kovania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IF(H15=kombinace_2!AB40,'Translate&amp;Prices&amp;Logo'!$B$224,IF(H15=kombinace_2!AB41,'Translate&amp;Prices&amp;Logo'!$B$224,IF(H12='závěsy dle výklopu'!BQ2,'Translate&amp;Prices&amp;Logo'!$B$222,'Translate&amp;Prices&amp;Logo'!$B$218)))</f>
        <v>Výber pozície rámčeku</v>
      </c>
      <c r="C16" s="641"/>
      <c r="D16" s="641"/>
      <c r="E16" s="641"/>
      <c r="F16" s="639"/>
      <c r="G16" s="639"/>
      <c r="H16" s="639"/>
      <c r="I16" s="639"/>
      <c r="J16" s="659" t="str">
        <f>IF(OR(H15=kombinace_2!AB40,H15=kombinace_2!AB7,H15=kombinace_2!AB15,H15=kombinace_2!AB20,H15=kombinace_2!AB21,H15=kombinace_2!AB22),'Translate&amp;Prices&amp;Logo'!$B$226,IF(H15=kombinace_2!AB41,'Translate&amp;Prices&amp;Logo'!$B$226,'Translate&amp;Prices&amp;Logo'!$B$232))</f>
        <v>Vyhotovenie druhého dvierka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IF(H12='Translate&amp;Prices&amp;Logo'!B551,'Translate&amp;Prices&amp;Logo'!B238,IF(H15=kombinace_2!AB8,'Translate&amp;Prices&amp;Logo'!B284,0))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85">
        <f>IFERROR(IF(VLOOKUP(H15,kombinace_2!CD:CE,2,0)=1,'Translate&amp;Prices&amp;Logo'!$B$547,0),0)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IFERROR(IF(H12='Translate&amp;Prices&amp;Logo'!B551,'Translate&amp;Prices&amp;Logo'!$B$223,IF(VLOOKUP(H15,kombinace_2!CD:CE,2,0)=1,'Translate&amp;Prices&amp;Logo'!$B$223,)),0)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Vzdialenosť od spodného okraja</v>
      </c>
      <c r="AM19" s="629"/>
      <c r="AN19" s="620">
        <v>0</v>
      </c>
      <c r="AO19" s="620"/>
      <c r="AP19" s="76"/>
      <c r="AQ19" s="314"/>
      <c r="AR19" s="675" t="str">
        <f>'Translate&amp;Prices&amp;Logo'!$B$176</f>
        <v>Výška</v>
      </c>
      <c r="AS19" s="9"/>
      <c r="AT19" s="146"/>
      <c r="AU19" s="138">
        <f>IFERROR(IF(H12='závěsy dle výklopu'!BR2,VLOOKUP(H15,kombinace_2!$CD$3:$CF$18,3,0),IF(H12='závěsy dle výklopu'!BQ2,1,0)),0)</f>
        <v>0</v>
      </c>
      <c r="AV19" s="140">
        <f>IFERROR(VLOOKUP(H15,kombinace_2!$CD:$CF,3,0),0)</f>
        <v>0</v>
      </c>
    </row>
    <row r="20" spans="1:52" ht="18" customHeight="1">
      <c r="A20" s="61"/>
      <c r="B20" s="644">
        <f>IF(H13&lt;&gt;"Salice",(IFERROR('Translate&amp;Prices&amp;Logo'!$B$242&amp;" "&amp;(VLOOKUP(H17,kombinace_2!$BY$32:$CA$35,2,0)),0)),0)</f>
        <v>0</v>
      </c>
      <c r="C20" s="583"/>
      <c r="D20" s="583"/>
      <c r="E20" s="583"/>
      <c r="F20" s="638">
        <v>100</v>
      </c>
      <c r="G20" s="638"/>
      <c r="H20" s="638"/>
      <c r="I20" s="638"/>
      <c r="J20" s="583">
        <f>IFERROR('Translate&amp;Prices&amp;Logo'!$B$242&amp;" "&amp;(VLOOKUP(H17,kombinace_2!$BY$32:$CA$35,3,0)),0)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IF(kombinace_2!FC2=FALSE,'Translate&amp;Prices&amp;Logo'!$B$173," ")</f>
        <v>Typ upravy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Už nemeniť po tom čo vyberiete typ skla/sieťky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VLOOKUP(H17,kombinace_2!$BY$3:$BZ$6,2,0)</f>
        <v>#N/A</v>
      </c>
      <c r="AV23" s="140"/>
    </row>
    <row r="24" spans="1:52" ht="18" customHeight="1">
      <c r="A24" s="61"/>
      <c r="B24" s="614" t="str">
        <f>'Translate&amp;Prices&amp;Logo'!$B$562</f>
        <v>Typ fólie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Vzdialenosť od ľavého kraja</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skla/sieťky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VLOOKUP(H27,kombinace_2!$BY3:$BZ6,2,0)</f>
        <v>#N/A</v>
      </c>
      <c r="AV25" s="140"/>
    </row>
    <row r="26" spans="1:52" ht="18" customHeight="1">
      <c r="A26" s="61"/>
      <c r="B26" s="585" t="str">
        <f>'Translate&amp;Prices&amp;Logo'!$B$549</f>
        <v>Rozteč úchytiek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Umiestnenie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kusov</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Dodať vrátane uvedeného kovania -&gt; vyberte zo zoznamu: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VLOOKUP(H14,kombinace_2!$DN$7:$DO$24,2,0)</f>
        <v>#N/A</v>
      </c>
      <c r="AB29" s="626">
        <f>IF(kombinace_2!FC2=TRUE,AB4,IF(H12='závěsy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rámčekov celkom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Šírka</v>
      </c>
      <c r="AG30" s="625"/>
      <c r="AH30" s="625"/>
      <c r="AI30" s="618"/>
      <c r="AJ30" s="618"/>
      <c r="AK30" s="618"/>
      <c r="AL30" s="9"/>
      <c r="AM30" s="9"/>
      <c r="AN30" s="9"/>
      <c r="AO30" s="9"/>
      <c r="AP30" s="9"/>
      <c r="AQ30" s="9"/>
      <c r="AR30" s="9"/>
      <c r="AS30" s="9"/>
      <c r="AT30" s="146"/>
      <c r="AU30" s="138" t="e">
        <f>HLOOKUP("_Úzký_dolny_K12",kombinace_2!CV2:CW19,3,FALSE)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Súhrn</v>
      </c>
      <c r="AP31" s="674"/>
      <c r="AQ31" s="674"/>
      <c r="AR31" s="674"/>
      <c r="AS31" s="9"/>
      <c r="AT31" s="146"/>
      <c r="AU31" s="138" t="e">
        <f>AD44</f>
        <v>#N/A</v>
      </c>
    </row>
    <row r="32" spans="1:52" ht="17.25" customHeight="1">
      <c r="A32" s="61"/>
      <c r="B32" s="635" t="str">
        <f>'Translate&amp;Prices&amp;Logo'!$B$171</f>
        <v>Uvedené ceny sú bez DPH a nezahrňujú cenu požadovaného kovania!</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Rámy bez skla sa dodávajú v demontovanom stave.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IF(kombinace_2!V1=2,((AR14/1000)*(AI30/1000))*'Translate&amp;Prices&amp;Logo'!C94,0)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IF(kombinace_2!$V$1=3,IFERROR(((VLOOKUP(H24,'Translate&amp;Prices&amp;Logo'!B91:C93,2,0))*(AR14/1000)),0),0)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IF(kombinace_2!FC2=TRUE,_profily_síťka,IF(kombinace_2!H1=TRUE,_kombinovane_profily,_vše_profily))</f>
        <v>BRW (elox.) - maximálna odporúčaná odporúčaná dĺžka profilu 2500 mm</v>
      </c>
      <c r="L36" s="157" t="str">
        <f t="array" ref="L36:M36">IF(kombinace_2!H1=TRUE,'závěsy dle výklopu'!$BQ$2:$BR$2,
IF(H8=kombinace_2!A36,'závěsy dle výklopu'!$BQ$2,IF(H8=kombinace_2!A37,'závěsy dle výklopu'!$BQ$2,IF(H8=kombinace_2!A60,'závěsy dle výklopu'!$BQ$2,IF(H8=kombinace_2!A61,'závěsy dle výklopu'!$BQ$2,IF(H8=kombinace_2!A62,'závěsy dle výklopu'!$BQ$2,IF(H8=kombinace_2!A63,'závěsy dle výklopu'!$BQ$2,'závěsy dle výklopu'!$BQ$2:$BR$2)))))))</f>
        <v>Závesy</v>
      </c>
      <c r="M36" s="157" t="str">
        <v>Výklopy</v>
      </c>
      <c r="P36" s="157" t="str" cm="1">
        <f t="array" ref="P36:P38">IF(H13=kombinace_2!BQ11,kombinace_2!$DN$2,kombinace_2!$DN$2:$DN$4)</f>
        <v>Naložený</v>
      </c>
      <c r="T36" s="157">
        <f t="array" aca="1" ref="T36:T44" ca="1">IF(H13=kombinace_2!BQ11,
  kombinace_2!$FA$2:$FA$9,
  IF(AND(OR(H8=kombinace_2!A36,H8=kombinace_2!A37),H13='závěsy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55"/>
      <c r="AX36" s="255"/>
      <c r="AY36" s="255"/>
    </row>
    <row r="37" spans="1:58" s="157" customFormat="1" ht="15" hidden="1" customHeight="1">
      <c r="A37" s="140"/>
      <c r="B37" s="157" t="str">
        <v>BRW biela matt RAL 9003 - maximálna odporúčaná dĺžka profilu 2500 mm</v>
      </c>
      <c r="P37" s="157" t="e">
        <v>#N/A</v>
      </c>
      <c r="T37" s="157">
        <f ca="1"/>
        <v>0</v>
      </c>
      <c r="W37" s="157" t="str" cm="1">
        <f t="array" ref="W37:W38">IF(Hlavní!$V$39=3,"",'Translate&amp;Prices&amp;Logo'!B556:B557)</f>
        <v>Áno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biela lesk RAL 9003 - maximálna odporúčaná dĺžka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Nie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brúsené - maximálna odporúčaná dĺžka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čierna matt - maximálna odporúčaná dĺžka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čierna brúsená - maximálna odporúčaná dĺžka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svetlá nerez (INOX ACIER gratta)- maximálna odporúčaná dĺžka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maximálna odporúčaná dĺžka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maximálna odporúčaná dĺžka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maximálna odporúčaná dĺžka profilu 2500 mm</v>
      </c>
      <c r="M45" s="157" t="s">
        <v>2500</v>
      </c>
      <c r="N45" s="157" t="s">
        <v>1039</v>
      </c>
      <c r="AS45" s="133"/>
      <c r="AW45" s="255"/>
      <c r="AX45" s="255"/>
      <c r="AY45" s="255"/>
    </row>
    <row r="46" spans="1:58" s="157" customFormat="1" ht="14.85" hidden="1" customHeight="1">
      <c r="A46" s="140"/>
      <c r="B46" s="157" t="str">
        <v>BRW hnědá - maximálna odporúčaná dĺžka profilu 2500 mm</v>
      </c>
      <c r="M46" s="157" t="s">
        <v>4323</v>
      </c>
    </row>
    <row r="47" spans="1:58" s="157" customFormat="1" ht="14.85" hidden="1" customHeight="1">
      <c r="A47" s="140"/>
      <c r="B47" s="157" t="str">
        <v>BRW tmavá nerez brúsená (INOX LIJA) - maximálna odporúčaná dĺžka profilu 2500 mm</v>
      </c>
      <c r="M47" s="157" t="s">
        <v>4324</v>
      </c>
      <c r="T47" s="157" t="str">
        <f>CONCATENATE(H13,"_",VLOOKUP(kombinace_2!H1,kombinace_2!$J$14:$K$15,2,0))</f>
        <v>_2</v>
      </c>
      <c r="AD47" s="157" t="s">
        <v>4322</v>
      </c>
      <c r="AI47" s="112"/>
      <c r="AJ47" s="277"/>
      <c r="AN47" s="670"/>
      <c r="AO47" s="670"/>
      <c r="AP47" s="670"/>
      <c r="AQ47" s="670"/>
    </row>
    <row r="48" spans="1:58" s="157" customFormat="1" ht="14.85" hidden="1" customHeight="1">
      <c r="A48" s="140"/>
      <c r="B48" s="157" t="str">
        <v>BRW kašmír - maximálna odporúčaná dĺžka profilu 2500 mm</v>
      </c>
      <c r="T48" s="157" t="e">
        <f>VLOOKUP(AD42,kombinace_2!ER1:ES120,2,0)</f>
        <v>#N/A</v>
      </c>
      <c r="AS48"/>
      <c r="AT48"/>
    </row>
    <row r="49" spans="1:46" s="157" customFormat="1" ht="14.85" hidden="1" customHeight="1">
      <c r="A49" s="140"/>
      <c r="B49" s="157" t="str">
        <v>BRW zlatá - maximálna odporúčaná dĺžka profilu 2500 mm</v>
      </c>
      <c r="AS49"/>
      <c r="AT49"/>
    </row>
    <row r="50" spans="1:46" s="157" customFormat="1" ht="14.85" hidden="1" customHeight="1">
      <c r="A50" s="140"/>
      <c r="B50" s="157" t="str">
        <v>BRW zlatá brúsená - maximálna odporúčaná dĺžka profilu 2500 mm</v>
      </c>
      <c r="AS50"/>
      <c r="AT50"/>
    </row>
    <row r="51" spans="1:46" s="157" customFormat="1" ht="14.85" hidden="1" customHeight="1">
      <c r="A51" s="140"/>
      <c r="B51" s="157" t="str">
        <v>Corleone (elox.) - maximálna odporúčaná dĺžka profilu 1500 mm</v>
      </c>
      <c r="AS51"/>
      <c r="AT51"/>
    </row>
    <row r="52" spans="1:46" s="157" customFormat="1" ht="14.85" hidden="1" customHeight="1">
      <c r="A52" s="140"/>
      <c r="B52" s="157" t="str">
        <v>Corleone čierne mat - maximálna odporúčaná dĺžka profilu 1500 mm</v>
      </c>
      <c r="AS52"/>
      <c r="AT52"/>
    </row>
    <row r="53" spans="1:46" s="157" customFormat="1" ht="14.85" hidden="1" customHeight="1">
      <c r="A53" s="140"/>
      <c r="B53" s="157" t="str">
        <v>ASTI čierna mat - maximálna odporúčaná dĺžka profilu 2150</v>
      </c>
      <c r="AS53"/>
      <c r="AT53"/>
    </row>
    <row r="54" spans="1:46" s="157" customFormat="1" ht="14.85" hidden="1" customHeight="1">
      <c r="A54" s="140"/>
      <c r="B54" s="157" t="str">
        <v>ASTI antracit RAL 7021 mat - maximálna odporúčaná dĺžka profilu 2500 mm</v>
      </c>
      <c r="K54" s="157" t="str">
        <f t="array" ref="K54:K58">IF(OR($H$15=kombinace_2!AB40,$H$15=kombinace_2!AB7,$H$15=kombinace_2!AB15,$H$15=kombinace_2!AB20,$H$15=kombinace_2!AB21,$H$15=kombinace_2!AB22),'Translate&amp;Prices&amp;Logo'!$B$229:$B$231,IF($H$15=kombinace_2!AB41,'Translate&amp;Prices&amp;Logo'!$B$229:$B$231,'Translate&amp;Prices&amp;Logo'!$B$233:$B$237))</f>
        <v>Úzky ALU rámček</v>
      </c>
      <c r="T54" s="157" t="str">
        <f t="array" ref="T54:T56">kombinace_2!$EN$3:$EN$5</f>
        <v>Bez úprav</v>
      </c>
      <c r="U54" s="157">
        <v>1</v>
      </c>
      <c r="X54" s="157" t="str">
        <f t="array" ref="X54:X56">kombinace_2!$X$3:$X$5</f>
        <v>transparentné</v>
      </c>
      <c r="AD54" s="157" t="e">
        <f t="array" aca="1" ref="AD54:AD96" ca="1">IF(kombinace_2!FC2=FALSE,
INDIRECT(kombinace_2!S1),
IF(kombinace_2!FC2=TRUE,INDIRECT(VLOOKUP(Ram_2!H8,'závěsy dle výklopu'!A81:B90,2,0)),0))</f>
        <v>#N/A</v>
      </c>
      <c r="AS54"/>
      <c r="AT54"/>
    </row>
    <row r="55" spans="1:46" s="157" customFormat="1" ht="14.85" hidden="1" customHeight="1">
      <c r="A55" s="140"/>
      <c r="B55" s="157" t="str">
        <v>Imola (elox.) - maximálna odporúčaná dĺžka profilu 2500 mm</v>
      </c>
      <c r="K55" s="157" t="str">
        <v>Široký ALU rámček</v>
      </c>
      <c r="T55" s="157" t="str">
        <v>Kalené (termín dodania 4 týždne)</v>
      </c>
      <c r="U55" s="157">
        <v>2</v>
      </c>
      <c r="X55" s="157" t="str">
        <v>biela</v>
      </c>
      <c r="AD55" s="157" t="e">
        <f ca="1"/>
        <v>#N/A</v>
      </c>
      <c r="AS55"/>
      <c r="AT55"/>
    </row>
    <row r="56" spans="1:46" s="157" customFormat="1" ht="14.85" hidden="1" customHeight="1">
      <c r="A56" s="140"/>
      <c r="B56" s="157" t="str">
        <v>Imola čierna mat - maximálna odporúčaná dĺžka profilu 2500 mm</v>
      </c>
      <c r="K56" s="157" t="str">
        <v>MDF hrúbky 16 mm</v>
      </c>
      <c r="T56" s="157" t="str">
        <v>Folie</v>
      </c>
      <c r="U56" s="157">
        <v>3</v>
      </c>
      <c r="X56" s="157" t="str">
        <v>čierna</v>
      </c>
      <c r="AD56" s="157" t="e">
        <f ca="1"/>
        <v>#N/A</v>
      </c>
    </row>
    <row r="57" spans="1:46" s="157" customFormat="1" ht="14.85" hidden="1" customHeight="1">
      <c r="A57" s="140"/>
      <c r="B57" s="157" t="str">
        <v>Imola biela matt RAL 9003 - maximálna odporúčaná dĺžka profilu 2500 mm</v>
      </c>
      <c r="K57" s="157" t="str">
        <v>MDF hrúbky 18 mm</v>
      </c>
      <c r="AD57" s="157" t="e">
        <f ca="1"/>
        <v>#N/A</v>
      </c>
    </row>
    <row r="58" spans="1:46" s="157" customFormat="1" ht="14.85" hidden="1" customHeight="1">
      <c r="A58" s="140"/>
      <c r="B58" s="157" t="str">
        <v>Imola zlatá - maximálna odporúčaná dĺžka profilu 2150 mm</v>
      </c>
      <c r="K58" s="157" t="str">
        <v>DTDL hrúbky 18 mm</v>
      </c>
      <c r="AD58" s="157" t="e">
        <f ca="1"/>
        <v>#N/A</v>
      </c>
    </row>
    <row r="59" spans="1:46" s="157" customFormat="1" ht="14.85" hidden="1" customHeight="1">
      <c r="A59" s="140"/>
      <c r="B59" s="157" t="str">
        <v>Modena (elox.) - maximálna odporúčaná dĺžka profilu 2500 mm</v>
      </c>
      <c r="T59" s="157">
        <f>IFERROR(VLOOKUP($H$21,$T$54:$U$56,2,0),0)</f>
        <v>0</v>
      </c>
      <c r="AD59" s="157" t="e">
        <f ca="1"/>
        <v>#N/A</v>
      </c>
    </row>
    <row r="60" spans="1:46" s="157" customFormat="1" ht="14.85" hidden="1" customHeight="1">
      <c r="A60" s="140"/>
      <c r="B60" s="157" t="str">
        <v>Modena čierna matt - maximálna odporúčaná dĺžka profilu 2500 mm</v>
      </c>
      <c r="K60" s="157" t="b">
        <f>K56=K61</f>
        <v>0</v>
      </c>
      <c r="AD60" s="157" t="e">
        <f ca="1"/>
        <v>#N/A</v>
      </c>
    </row>
    <row r="61" spans="1:46" s="157" customFormat="1" ht="14.85" hidden="1" customHeight="1">
      <c r="A61" s="140"/>
      <c r="B61" s="157" t="str">
        <v>Modena čierna brúsená - maximálna odporúčaná dĺžka profilu 2500 mm</v>
      </c>
      <c r="H61" s="157" t="str">
        <f>'Translate&amp;Prices&amp;Logo'!$B$186</f>
        <v>Spodné dvierko</v>
      </c>
      <c r="K61" s="157" t="str">
        <f>'Translate&amp;Prices&amp;Logo'!$B$231</f>
        <v>2 Kusy (obe strany)</v>
      </c>
      <c r="AD61" s="157" t="e">
        <f ca="1"/>
        <v>#N/A</v>
      </c>
    </row>
    <row r="62" spans="1:46" s="157" customFormat="1" ht="14.85" hidden="1" customHeight="1">
      <c r="A62" s="140"/>
      <c r="B62" s="157" t="str">
        <v>Modena tmavá nerez brúsená LIJA - maximálna odporúčaná dĺžka profilu 2500 mm</v>
      </c>
      <c r="AD62" s="157" t="e">
        <f ca="1"/>
        <v>#N/A</v>
      </c>
    </row>
    <row r="63" spans="1:46" s="157" customFormat="1" ht="14.85" hidden="1" customHeight="1">
      <c r="A63" s="140"/>
      <c r="B63" s="157" t="str">
        <v>Modena hnědá - maximálna odporúčaná dĺžka profilu 2500 mm</v>
      </c>
      <c r="AD63" s="157" t="e">
        <f ca="1"/>
        <v>#N/A</v>
      </c>
    </row>
    <row r="64" spans="1:46" s="157" customFormat="1" ht="14.85" hidden="1" customHeight="1">
      <c r="A64" s="140"/>
      <c r="B64" s="157" t="str">
        <v>Pisa (elox.) - maximálna odporúčaná dĺžka profilu 2500 mm</v>
      </c>
      <c r="AD64" s="157" t="e">
        <f ca="1"/>
        <v>#N/A</v>
      </c>
    </row>
    <row r="65" spans="1:30" s="157" customFormat="1" ht="14.85" hidden="1" customHeight="1">
      <c r="A65" s="140"/>
      <c r="B65" s="157" t="str">
        <v>Pisa biela mat RAL 9003 - maximálna odporúčaná dĺžka profilu 2500 mm</v>
      </c>
      <c r="H65" s="33" t="str">
        <f>'rozpad závěsů bez prázdn. řádků'!$K$1</f>
        <v>krížová skrutka</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výklopu'!$BQ$2,$J$65:$J$71,'Translate&amp;Prices&amp;Logo'!$B$185:$B$186)))</f>
        <v>Horné dvierko</v>
      </c>
      <c r="AD65" s="157" t="e">
        <f ca="1"/>
        <v>#N/A</v>
      </c>
    </row>
    <row r="66" spans="1:30" s="157" customFormat="1" ht="14.85" hidden="1" customHeight="1">
      <c r="A66" s="140"/>
      <c r="B66" s="157" t="str">
        <v>Pisa biela lesk RAL 9003 - maximálna odporúčaná dĺžka profilu 2500 mm</v>
      </c>
      <c r="H66" s="33" t="str">
        <f>'rozpad závěsů bez prázdn. řádků'!$M$1</f>
        <v>na vrut (s excentrom)</v>
      </c>
      <c r="I66" s="159">
        <v>8</v>
      </c>
      <c r="J66" s="32" t="e">
        <f>VLOOKUP($H$15,'rozpad závěsů bez prázdn. řádků'!$G$2:$X$66,I66,0)</f>
        <v>#N/A</v>
      </c>
      <c r="O66" s="157" t="str">
        <v>Spodné dvierko</v>
      </c>
      <c r="AD66" s="157" t="e">
        <f ca="1"/>
        <v>#N/A</v>
      </c>
    </row>
    <row r="67" spans="1:30" s="157" customFormat="1" ht="14.85" hidden="1" customHeight="1">
      <c r="A67" s="140"/>
      <c r="B67" s="157" t="str">
        <v>Pisa čierna matt - maximálna odporúčaná dĺžka profilu 2500 mm</v>
      </c>
      <c r="H67" s="33" t="str">
        <f>'rozpad závěsů bez prázdn. řádků'!$O$1</f>
        <v>euroskrut</v>
      </c>
      <c r="I67" s="159">
        <v>10</v>
      </c>
      <c r="J67" s="32" t="e">
        <f>VLOOKUP($H$15,'rozpad závěsů bez prázdn. řádků'!$G$2:$X$66,I67,0)</f>
        <v>#N/A</v>
      </c>
      <c r="AD67" s="157" t="e">
        <f ca="1"/>
        <v>#N/A</v>
      </c>
    </row>
    <row r="68" spans="1:30" s="157" customFormat="1" ht="14.85" hidden="1" customHeight="1">
      <c r="A68" s="140"/>
      <c r="B68" s="157" t="str">
        <v>Pisa zlatá - maximálna odporúčaná dĺžka profilu 2150 mm</v>
      </c>
      <c r="H68" s="33" t="str">
        <f>'rozpad závěsů bez prázdn. řádků'!$Q$1</f>
        <v>křížová expando</v>
      </c>
      <c r="I68" s="159">
        <v>12</v>
      </c>
      <c r="J68" s="32" t="e">
        <f>VLOOKUP($H$15,'rozpad závěsů bez prázdn. řádků'!$G$2:$X$66,I68,0)</f>
        <v>#N/A</v>
      </c>
      <c r="AD68" s="157" t="e">
        <f ca="1"/>
        <v>#N/A</v>
      </c>
    </row>
    <row r="69" spans="1:30" s="157" customFormat="1" ht="14.85" hidden="1" customHeight="1">
      <c r="A69" s="140"/>
      <c r="B69" s="157" t="str">
        <v>Rocca (elox.) - maximálna odporúčaná dĺžka profilu 2150 mm</v>
      </c>
      <c r="H69" s="33" t="str">
        <f>'rozpad závěsů bez prázdn. řádků'!$S$1</f>
        <v>priama Skrut</v>
      </c>
      <c r="I69" s="159">
        <v>14</v>
      </c>
      <c r="J69" s="32" t="e">
        <f>VLOOKUP($H$15,'rozpad závěsů bez prázdn. řádků'!$G$2:$X$66,I69,0)</f>
        <v>#N/A</v>
      </c>
      <c r="AD69" s="157" t="e">
        <f ca="1"/>
        <v>#N/A</v>
      </c>
    </row>
    <row r="70" spans="1:30" s="157" customFormat="1" ht="14.85" hidden="1" customHeight="1">
      <c r="A70" s="140"/>
      <c r="B70" s="157" t="str">
        <v>Rocca čierna mat - maximálna odporúčaná dĺžka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čierna matt - maximálna odporúčaná dĺžka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maximálna odporúčaná dĺžka profilu 2500 mm</v>
      </c>
      <c r="AD72" s="157" t="e">
        <f ca="1"/>
        <v>#N/A</v>
      </c>
    </row>
    <row r="73" spans="1:30" s="157" customFormat="1" ht="14.85" hidden="1" customHeight="1">
      <c r="A73" s="140"/>
      <c r="B73" s="157" t="str">
        <v>Verona brúsená - maximálna odporúčaná dĺžka profilu 2500 mm</v>
      </c>
      <c r="AD73" s="157" t="e">
        <f ca="1"/>
        <v>#N/A</v>
      </c>
    </row>
    <row r="74" spans="1:30" s="157" customFormat="1" ht="14.85" hidden="1" customHeight="1">
      <c r="A74" s="140"/>
      <c r="B74" s="157" t="str">
        <v>Verona čierna mat - maximálna odporúčaná dĺžka profilu 2500 mm</v>
      </c>
      <c r="AD74" s="157" t="e">
        <f ca="1"/>
        <v>#N/A</v>
      </c>
    </row>
    <row r="75" spans="1:30" s="157" customFormat="1" ht="14.85" hidden="1" customHeight="1">
      <c r="A75" s="140"/>
      <c r="B75" s="157" t="str">
        <v>Verona čierna lesk - maximálna odporúčaná dĺžka profilu 2500 mm</v>
      </c>
      <c r="AD75" s="157" t="e">
        <f ca="1"/>
        <v>#N/A</v>
      </c>
    </row>
    <row r="76" spans="1:30" s="157" customFormat="1" ht="14.85" hidden="1" customHeight="1">
      <c r="A76" s="140"/>
      <c r="B76" s="157" t="str">
        <v>Verona hnědá - maximálna odporúčaná dĺžka profilu 2500 mm</v>
      </c>
      <c r="AD76" s="157" t="e">
        <f ca="1"/>
        <v>#N/A</v>
      </c>
    </row>
    <row r="77" spans="1:30" s="157" customFormat="1" ht="14.85" hidden="1" customHeight="1">
      <c r="A77" s="140"/>
      <c r="B77" s="157" t="str">
        <v>Verona champagne - maximálna odporúčaná dĺžka profilu 2500 mm</v>
      </c>
      <c r="AD77" s="157" t="e">
        <f ca="1"/>
        <v>#N/A</v>
      </c>
    </row>
    <row r="78" spans="1:30" s="157" customFormat="1" ht="14.85" hidden="1" customHeight="1">
      <c r="A78" s="140"/>
      <c r="B78" s="157" t="str">
        <v>Verona nerez brúsená - maximálna odporúčaná dĺžka profilu 2500 mm</v>
      </c>
      <c r="AD78" s="157" t="e">
        <f ca="1"/>
        <v>#N/A</v>
      </c>
    </row>
    <row r="79" spans="1:30" s="157" customFormat="1" ht="14.85" hidden="1" customHeight="1">
      <c r="A79" s="140"/>
      <c r="B79" s="157" t="str">
        <v>Verona svetlá nerez brúsená Acier - maximálna odporúčaná dĺžka profilu 2500 mm</v>
      </c>
      <c r="AD79" s="157" t="e">
        <f ca="1"/>
        <v>#N/A</v>
      </c>
    </row>
    <row r="80" spans="1:30" s="157" customFormat="1" ht="14.85" hidden="1" customHeight="1">
      <c r="A80" s="140"/>
      <c r="B80" s="157" t="str">
        <v>Verona Ivory mat - maximálna odporúčaná dĺžka profilu 2150 mm</v>
      </c>
      <c r="AD80" s="157" t="e">
        <f ca="1"/>
        <v>#N/A</v>
      </c>
    </row>
    <row r="81" spans="1:38" s="157" customFormat="1" ht="14.85" hidden="1" customHeight="1">
      <c r="A81" s="140"/>
      <c r="B81" s="157" t="str">
        <v>Verona kašmír - maximálna odporúčaná dĺžka profilu 2150 mm</v>
      </c>
      <c r="AD81" s="157" t="e">
        <f ca="1"/>
        <v>#N/A</v>
      </c>
    </row>
    <row r="82" spans="1:38" s="157" customFormat="1" ht="14.85" hidden="1" customHeight="1">
      <c r="A82" s="140"/>
      <c r="B82" s="157" t="str">
        <v>Verona zlatá - maximálna odporúčaná dĺžka profilu 2150 mm</v>
      </c>
      <c r="P82" s="157" t="str" cm="1">
        <f t="array" ref="P82:P85">IF(OR(H8=kombinace_2!F18,H8=kombinace_2!F19,H8=kombinace_2!A60,H8=kombinace_2!A61,H8=kombinace_2!A62,H8=kombinace_2!A63),_2_strany,IF(H15=kombinace_2!AB8,_ramena_HL,_4_strany))</f>
        <v>Navrchu</v>
      </c>
      <c r="AD82" s="157" t="e">
        <f ca="1"/>
        <v>#N/A</v>
      </c>
    </row>
    <row r="83" spans="1:38" ht="14.85" hidden="1" customHeight="1">
      <c r="B83" s="138" t="str">
        <v>Verona zlatá brúsená - maximálna odporúčaná dĺžka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maximálna odporúčaná dĺžka profilu 2500 mm</v>
      </c>
      <c r="C84" s="140"/>
      <c r="D84" s="140"/>
      <c r="E84" s="140"/>
      <c r="F84" s="140"/>
      <c r="G84" s="140"/>
      <c r="H84" s="140"/>
      <c r="I84" s="140"/>
      <c r="J84" s="140"/>
      <c r="K84" s="140"/>
      <c r="L84" s="140"/>
      <c r="M84" s="140"/>
      <c r="N84" s="140"/>
      <c r="O84" s="138"/>
      <c r="P84" s="140" t="str">
        <v>Vpravo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čierne mat - maximálna odporúčaná dĺžka profilu 2500 mm</v>
      </c>
      <c r="C85" s="140"/>
      <c r="D85" s="140"/>
      <c r="E85" s="140"/>
      <c r="F85" s="140"/>
      <c r="G85" s="140"/>
      <c r="H85" s="140"/>
      <c r="I85" s="140"/>
      <c r="J85" s="140"/>
      <c r="K85" s="140"/>
      <c r="L85" s="140"/>
      <c r="M85" s="140"/>
      <c r="N85" s="140"/>
      <c r="O85" s="140"/>
      <c r="P85" s="140" t="str">
        <v>Vľavo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maximálna odporúčaná dĺžka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biela matt RAL 9003 - maximálna odporúčaná dĺžka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biela lesk RAL 9003 - maximálna odporúčaná dĺžka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maximálna odporúčaná dĺžka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brúsená - maximálna odporúčaná dĺžka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(Vľavo a vpravo) + Varna elox (Hore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čierna (Vľavo a vpravo) + Varna čierna (Hore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čierna mat - maximálna odporúčaná dĺžka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maximálna odporúčaná dĺžka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čierna mat - maximálna odporúčaná dĺžka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maximálna odporúčaná dĺžka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ZbEs0xpK6PIyr3ArWN0aiYb4Yswz7SbQwB06aB0ZQGVtZMNsdYvJrs5ezGFnln/Mh7zX0ExqiPUMJq2JF4+osg==" saltValue="tpeHMAbfnBgrel9MXzUpHw=="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12" priority="24" operator="equal">
      <formula>$A$2</formula>
    </cfRule>
  </conditionalFormatting>
  <conditionalFormatting sqref="B16:I16">
    <cfRule type="expression" dxfId="411" priority="45">
      <formula>$AU$19=0</formula>
    </cfRule>
  </conditionalFormatting>
  <conditionalFormatting sqref="B9:Q9">
    <cfRule type="expression" dxfId="410" priority="30">
      <formula>$B$9=0</formula>
    </cfRule>
  </conditionalFormatting>
  <conditionalFormatting sqref="B11:Q11">
    <cfRule type="expression" dxfId="409" priority="44">
      <formula>$AU$10=0</formula>
    </cfRule>
  </conditionalFormatting>
  <conditionalFormatting sqref="B14:Q14">
    <cfRule type="expression" dxfId="408" priority="29">
      <formula>$B$14=0</formula>
    </cfRule>
  </conditionalFormatting>
  <conditionalFormatting sqref="B17:Q17">
    <cfRule type="expression" dxfId="407" priority="28">
      <formula>$B$17=0</formula>
    </cfRule>
  </conditionalFormatting>
  <conditionalFormatting sqref="B18:Q18">
    <cfRule type="expression" dxfId="406" priority="14" stopIfTrue="1">
      <formula>$B$18=0</formula>
    </cfRule>
    <cfRule type="expression" dxfId="405" priority="17">
      <formula>$F$16=$H$61</formula>
    </cfRule>
  </conditionalFormatting>
  <conditionalFormatting sqref="B19:Q19">
    <cfRule type="expression" dxfId="404" priority="27">
      <formula>$B$19=0</formula>
    </cfRule>
  </conditionalFormatting>
  <conditionalFormatting sqref="B20:Q20">
    <cfRule type="expression" dxfId="403" priority="25">
      <formula>$B$20=0</formula>
    </cfRule>
    <cfRule type="expression" dxfId="402" priority="26">
      <formula>$B$19=0</formula>
    </cfRule>
  </conditionalFormatting>
  <conditionalFormatting sqref="B21:Q21">
    <cfRule type="expression" dxfId="401" priority="6">
      <formula>$B$21=" "</formula>
    </cfRule>
  </conditionalFormatting>
  <conditionalFormatting sqref="B24:Q24">
    <cfRule type="expression" dxfId="400" priority="19" stopIfTrue="1">
      <formula>$T$59&lt;3</formula>
    </cfRule>
  </conditionalFormatting>
  <conditionalFormatting sqref="H23">
    <cfRule type="expression" dxfId="399" priority="31">
      <formula>$H$25&gt;0</formula>
    </cfRule>
  </conditionalFormatting>
  <conditionalFormatting sqref="H10:L11">
    <cfRule type="expression" dxfId="398" priority="23">
      <formula>$AU$10=2</formula>
    </cfRule>
  </conditionalFormatting>
  <conditionalFormatting sqref="H10:Q10">
    <cfRule type="expression" dxfId="397" priority="22">
      <formula>$AU$10=0</formula>
    </cfRule>
  </conditionalFormatting>
  <conditionalFormatting sqref="H22:Q22 B22:G23">
    <cfRule type="expression" dxfId="396" priority="20">
      <formula>$AS$33=1</formula>
    </cfRule>
  </conditionalFormatting>
  <conditionalFormatting sqref="J16:M16">
    <cfRule type="expression" dxfId="395" priority="16" stopIfTrue="1">
      <formula>$K$60=TRUE</formula>
    </cfRule>
  </conditionalFormatting>
  <conditionalFormatting sqref="J16:N16">
    <cfRule type="expression" dxfId="394" priority="18" stopIfTrue="1">
      <formula>$AV$19=0</formula>
    </cfRule>
  </conditionalFormatting>
  <conditionalFormatting sqref="M10:Q11">
    <cfRule type="expression" dxfId="393" priority="21">
      <formula>$AU$10=1</formula>
    </cfRule>
  </conditionalFormatting>
  <conditionalFormatting sqref="N16:Q16">
    <cfRule type="expression" dxfId="392" priority="15" stopIfTrue="1">
      <formula>$K$60=TRUE</formula>
    </cfRule>
  </conditionalFormatting>
  <conditionalFormatting sqref="P29:Q29">
    <cfRule type="expression" dxfId="391" priority="1">
      <formula>$U$41=2</formula>
    </cfRule>
  </conditionalFormatting>
  <conditionalFormatting sqref="AA9:AA10 AA24:AA25">
    <cfRule type="expression" dxfId="390" priority="10" stopIfTrue="1">
      <formula>$AU$17=1</formula>
    </cfRule>
  </conditionalFormatting>
  <conditionalFormatting sqref="AA16:AA17">
    <cfRule type="expression" dxfId="389" priority="5" stopIfTrue="1">
      <formula>$AU$24="1_3"</formula>
    </cfRule>
  </conditionalFormatting>
  <conditionalFormatting sqref="AB6 AA6:AA7 AA27 AA28:AB28">
    <cfRule type="expression" dxfId="388" priority="4" stopIfTrue="1">
      <formula>$AV$17=1</formula>
    </cfRule>
  </conditionalFormatting>
  <conditionalFormatting sqref="AB29:AO29">
    <cfRule type="cellIs" dxfId="387" priority="2" operator="equal">
      <formula>0</formula>
    </cfRule>
  </conditionalFormatting>
  <conditionalFormatting sqref="AC6:AD6 AM6:AN6">
    <cfRule type="expression" dxfId="386" priority="12" stopIfTrue="1">
      <formula>$AU$17=3</formula>
    </cfRule>
  </conditionalFormatting>
  <conditionalFormatting sqref="AC25:AD25 AJ26:AJ27">
    <cfRule type="expression" dxfId="385" priority="39">
      <formula>$AU$25=4</formula>
    </cfRule>
  </conditionalFormatting>
  <conditionalFormatting sqref="AC28:AD28 AM28:AN28">
    <cfRule type="expression" dxfId="384" priority="11" stopIfTrue="1">
      <formula>$AU$17=4</formula>
    </cfRule>
  </conditionalFormatting>
  <conditionalFormatting sqref="AC8:AG8">
    <cfRule type="expression" dxfId="383" priority="43">
      <formula>$AU$25=3</formula>
    </cfRule>
  </conditionalFormatting>
  <conditionalFormatting sqref="AC24:AG24">
    <cfRule type="expression" dxfId="382" priority="40">
      <formula>$AU$25=4</formula>
    </cfRule>
  </conditionalFormatting>
  <conditionalFormatting sqref="AD10:AD12 AB19:AC19">
    <cfRule type="expression" dxfId="381" priority="33">
      <formula>$AU$25=1</formula>
    </cfRule>
  </conditionalFormatting>
  <conditionalFormatting sqref="AD14:AD21">
    <cfRule type="expression" dxfId="380" priority="32">
      <formula>$AU$25=1</formula>
    </cfRule>
  </conditionalFormatting>
  <conditionalFormatting sqref="AE10:AE16">
    <cfRule type="expression" dxfId="379" priority="41">
      <formula>$AU$25=1</formula>
    </cfRule>
  </conditionalFormatting>
  <conditionalFormatting sqref="AF9:AK9">
    <cfRule type="expression" dxfId="378" priority="36">
      <formula>$AU$25=3</formula>
    </cfRule>
  </conditionalFormatting>
  <conditionalFormatting sqref="AF25:AK25">
    <cfRule type="expression" dxfId="377" priority="38">
      <formula>$AU$25=4</formula>
    </cfRule>
  </conditionalFormatting>
  <conditionalFormatting sqref="AG6:AH6">
    <cfRule type="expression" dxfId="376" priority="8" stopIfTrue="1">
      <formula>$AU$24="3_3"</formula>
    </cfRule>
  </conditionalFormatting>
  <conditionalFormatting sqref="AG28:AH28">
    <cfRule type="expression" dxfId="375" priority="7" stopIfTrue="1">
      <formula>$AU$24="4_3"</formula>
    </cfRule>
  </conditionalFormatting>
  <conditionalFormatting sqref="AJ7:AJ8 AC9:AD9">
    <cfRule type="expression" dxfId="374" priority="37">
      <formula>$AU$25=3</formula>
    </cfRule>
  </conditionalFormatting>
  <conditionalFormatting sqref="AL19:AL25">
    <cfRule type="expression" dxfId="373" priority="42">
      <formula>$AU$25=2</formula>
    </cfRule>
  </conditionalFormatting>
  <conditionalFormatting sqref="AM14:AM21">
    <cfRule type="expression" dxfId="372" priority="34">
      <formula>$AU$25=2</formula>
    </cfRule>
  </conditionalFormatting>
  <conditionalFormatting sqref="AN19:AO19 AM23:AM25">
    <cfRule type="expression" dxfId="371" priority="35">
      <formula>$AU$25=2</formula>
    </cfRule>
  </conditionalFormatting>
  <conditionalFormatting sqref="AO6 AP6:AP7 AP27 AO28:AP28">
    <cfRule type="expression" dxfId="370" priority="3" stopIfTrue="1">
      <formula>$AV$17=2</formula>
    </cfRule>
  </conditionalFormatting>
  <conditionalFormatting sqref="AP9:AP10 AP24:AP25">
    <cfRule type="expression" dxfId="369" priority="9" stopIfTrue="1">
      <formula>$AU$17=2</formula>
    </cfRule>
  </conditionalFormatting>
  <conditionalFormatting sqref="AP16:AP17">
    <cfRule type="expression" dxfId="368"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$AD$54:$AD$96</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B36:B96</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10" workbookViewId="0">
      <selection activeCell="A10" sqref="A1:XFD104857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'Translate&amp;Prices&amp;Logo'!B553</f>
        <v>Naložený</v>
      </c>
      <c r="DP2" t="str">
        <f>'Translate&amp;Prices&amp;Logo'!$B$551</f>
        <v>Závesy</v>
      </c>
      <c r="DQ2">
        <v>2</v>
      </c>
      <c r="ED2" t="s">
        <v>1649</v>
      </c>
      <c r="EE2" t="s">
        <v>3242</v>
      </c>
      <c r="ER2" t="s">
        <v>2157</v>
      </c>
      <c r="ES2" t="s">
        <v>2162</v>
      </c>
      <c r="EV2">
        <v>2</v>
      </c>
      <c r="EW2" t="s">
        <v>2179</v>
      </c>
      <c r="EY2" s="213" t="str">
        <f>'Translate&amp;Prices&amp;Logo'!B164</f>
        <v>sieťka alu zlatá - rozmer oka 10x6x1 mm</v>
      </c>
      <c r="FA2" s="34" t="str">
        <f>'Translate&amp;Prices&amp;Logo'!B644</f>
        <v>520405 SALICE AIR SOFT niklový závěs s úhlem otevírání 92° sada 2ks</v>
      </c>
      <c r="FC2" t="b">
        <v>0</v>
      </c>
    </row>
    <row r="3" spans="1:159">
      <c r="A3" t="str">
        <f>'Translate&amp;Prices&amp;Logo'!$B$6</f>
        <v>BRW (elox.) - maximálna odporúčaná odporúčaná dĺžka profilu 2500 mm</v>
      </c>
      <c r="B3">
        <v>1</v>
      </c>
      <c r="C3" t="s">
        <v>651</v>
      </c>
      <c r="D3">
        <v>1</v>
      </c>
      <c r="F3" t="s">
        <v>950</v>
      </c>
      <c r="G3" t="s">
        <v>382</v>
      </c>
      <c r="H3" t="s">
        <v>951</v>
      </c>
      <c r="I3">
        <v>1</v>
      </c>
      <c r="J3">
        <v>2</v>
      </c>
      <c r="K3" t="s">
        <v>651</v>
      </c>
      <c r="M3" t="s">
        <v>952</v>
      </c>
      <c r="N3" t="s">
        <v>554</v>
      </c>
      <c r="X3" t="str">
        <f>'Translate&amp;Prices&amp;Logo'!$B$563</f>
        <v>transparentné</v>
      </c>
      <c r="Y3">
        <v>1</v>
      </c>
      <c r="AA3" t="s">
        <v>2083</v>
      </c>
      <c r="AB3" t="s">
        <v>1009</v>
      </c>
      <c r="AF3" t="s">
        <v>105</v>
      </c>
      <c r="AG3" t="s">
        <v>2377</v>
      </c>
      <c r="AY3" t="s">
        <v>984</v>
      </c>
      <c r="BK3" t="s">
        <v>105</v>
      </c>
      <c r="BU3" t="e">
        <f>VLOOKUP(BU2,BV2:BW9,2,0)</f>
        <v>#N/A</v>
      </c>
      <c r="BV3" t="s">
        <v>1015</v>
      </c>
      <c r="BW3" t="s">
        <v>1012</v>
      </c>
      <c r="BY3" t="str">
        <f>'Translate&amp;Prices&amp;Logo'!$B$230</f>
        <v>Vľavo</v>
      </c>
      <c r="BZ3">
        <v>1</v>
      </c>
      <c r="CA3">
        <v>32</v>
      </c>
      <c r="CD3" t="s">
        <v>2374</v>
      </c>
      <c r="CE3">
        <v>1</v>
      </c>
      <c r="CF3">
        <v>1</v>
      </c>
      <c r="DN3" t="e">
        <f>IF(OR(Ram_2!$H$13&amp;Ram_2!$AU$7=Ram_2!$M$44,
Ram_2!$H$13&amp;Ram_2!$AU$7=Ram_2!$M$45,
Ram_2!$H$13&amp;Ram_2!$AU$7=Ram_2!$M$46,
Ram_2!$H$13&amp;Ram_2!$AU$7=Ram_2!$M$47),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sieťka ocel čierna mat - rozmer oka 8x4x1 mm</v>
      </c>
      <c r="FA3" s="34" t="str">
        <f>'Translate&amp;Prices&amp;Logo'!B645</f>
        <v>520406 SALICE AIR PUSH TO OPEN niklový závěs s adaptérem sada 2ks</v>
      </c>
    </row>
    <row r="4" spans="1:159">
      <c r="A4" t="str">
        <f>'Translate&amp;Prices&amp;Logo'!$B$8</f>
        <v>BRW biela matt RAL 9003 - maximálna odporúčaná dĺžka profilu 2500 mm</v>
      </c>
      <c r="B4">
        <v>1</v>
      </c>
      <c r="C4" t="s">
        <v>651</v>
      </c>
      <c r="D4">
        <v>0</v>
      </c>
      <c r="G4" t="s">
        <v>951</v>
      </c>
      <c r="H4" t="s">
        <v>382</v>
      </c>
      <c r="I4">
        <v>0</v>
      </c>
      <c r="J4">
        <v>2</v>
      </c>
      <c r="K4" t="s">
        <v>651</v>
      </c>
      <c r="M4" t="s">
        <v>955</v>
      </c>
      <c r="N4" t="s">
        <v>856</v>
      </c>
      <c r="X4" t="str">
        <f>'Translate&amp;Prices&amp;Logo'!$B$564</f>
        <v>biela</v>
      </c>
      <c r="Y4">
        <v>2</v>
      </c>
      <c r="AA4" t="s">
        <v>954</v>
      </c>
      <c r="AB4" t="s">
        <v>2374</v>
      </c>
      <c r="AC4">
        <v>1</v>
      </c>
      <c r="AD4">
        <v>1</v>
      </c>
      <c r="AF4" t="s">
        <v>106</v>
      </c>
      <c r="AG4" t="s">
        <v>2377</v>
      </c>
      <c r="AY4" t="s">
        <v>984</v>
      </c>
      <c r="AZ4" t="s">
        <v>1017</v>
      </c>
      <c r="BK4" t="s">
        <v>106</v>
      </c>
      <c r="BV4" t="s">
        <v>1016</v>
      </c>
      <c r="BW4" t="s">
        <v>1011</v>
      </c>
      <c r="BY4" t="str">
        <f>'Translate&amp;Prices&amp;Logo'!$B$229</f>
        <v>Vpravo</v>
      </c>
      <c r="BZ4">
        <v>2</v>
      </c>
      <c r="CA4">
        <v>64</v>
      </c>
      <c r="CD4" t="s">
        <v>2154</v>
      </c>
      <c r="CE4">
        <v>1</v>
      </c>
      <c r="CF4">
        <v>0</v>
      </c>
      <c r="DN4" t="e">
        <f>IF(OR(Ram_2!$H$13&amp;Ram_2!$AU$7=Ram_2!$M$44,
Ram_2!$H$13&amp;Ram_2!$AU$7=Ram_2!$M$45,
Ram_2!$H$13&amp;Ram_2!$AU$7=Ram_2!$M$46,
Ram_2!$H$13&amp;Ram_2!$AU$7=Ram_2!$M$47),
'Translate&amp;Prices&amp;Logo'!B657,'Translate&amp;Prices&amp;Logo'!B555)</f>
        <v>#N/A</v>
      </c>
      <c r="ED4" t="s">
        <v>1651</v>
      </c>
      <c r="EE4" t="s">
        <v>3247</v>
      </c>
      <c r="EJ4">
        <v>2</v>
      </c>
      <c r="EK4" t="s">
        <v>114</v>
      </c>
      <c r="EN4" t="str">
        <f>'Translate&amp;Prices&amp;Logo'!B639</f>
        <v>Kalené (termín dodania 4 týždne)</v>
      </c>
      <c r="EO4">
        <v>2</v>
      </c>
      <c r="ER4" t="s">
        <v>2449</v>
      </c>
      <c r="ES4" t="s">
        <v>2450</v>
      </c>
      <c r="EV4">
        <v>4</v>
      </c>
      <c r="EW4" t="s">
        <v>2181</v>
      </c>
      <c r="EY4" s="213" t="str">
        <f>'Translate&amp;Prices&amp;Logo'!B166</f>
        <v>sieťka ocel biela - rozmer oka 8x4x1 mm</v>
      </c>
      <c r="FA4" s="34" t="str">
        <f>'Translate&amp;Prices&amp;Logo'!B646</f>
        <v>520407 SALICE AIR PUSH TO OPEN niklový závěs s adaptérem sada 2ks</v>
      </c>
    </row>
    <row r="5" spans="1:159">
      <c r="A5" t="str">
        <f>'Translate&amp;Prices&amp;Logo'!$B$9</f>
        <v>BRW biela lesk RAL 9003 - maximálna odporúčaná dĺžka profilu 2500 mm</v>
      </c>
      <c r="B5">
        <v>1</v>
      </c>
      <c r="C5" t="s">
        <v>651</v>
      </c>
      <c r="D5">
        <v>0</v>
      </c>
      <c r="F5" t="s">
        <v>957</v>
      </c>
      <c r="G5" t="s">
        <v>381</v>
      </c>
      <c r="H5" t="s">
        <v>951</v>
      </c>
      <c r="I5">
        <v>1</v>
      </c>
      <c r="J5">
        <v>2</v>
      </c>
      <c r="K5" t="s">
        <v>651</v>
      </c>
      <c r="M5" t="s">
        <v>958</v>
      </c>
      <c r="N5" t="s">
        <v>556</v>
      </c>
      <c r="X5" t="str">
        <f>'Translate&amp;Prices&amp;Logo'!$B$565</f>
        <v>čierna</v>
      </c>
      <c r="Y5">
        <v>3</v>
      </c>
      <c r="AA5" t="s">
        <v>954</v>
      </c>
      <c r="AB5" t="s">
        <v>2378</v>
      </c>
      <c r="AC5">
        <v>0</v>
      </c>
      <c r="AD5">
        <v>0</v>
      </c>
      <c r="AF5" t="s">
        <v>105</v>
      </c>
      <c r="AG5" t="s">
        <v>2379</v>
      </c>
      <c r="AY5" t="s">
        <v>984</v>
      </c>
      <c r="AZ5" t="s">
        <v>1018</v>
      </c>
      <c r="BK5" t="s">
        <v>961</v>
      </c>
      <c r="BV5" t="s">
        <v>2501</v>
      </c>
      <c r="BW5" t="s">
        <v>2502</v>
      </c>
      <c r="BY5" t="str">
        <f>'Translate&amp;Prices&amp;Logo'!$B$227</f>
        <v>Navrchu</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sieťka elox - rozmer oka 10x6x1 mm</v>
      </c>
      <c r="FA5" s="34" t="str">
        <f>'Translate&amp;Prices&amp;Logo'!B647</f>
        <v>520408 SALICE AIR SOFT niklový závěs s adaptérem sada 2ks</v>
      </c>
    </row>
    <row r="6" spans="1:159">
      <c r="A6" t="str">
        <f>'Translate&amp;Prices&amp;Logo'!$B$11</f>
        <v>BRW brúsené - maximálna odporúčaná dĺžka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čierna matt - maximálna odporúčaná dĺžka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čierna brúsená - maximálna odporúčaná dĺžka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svetlá nerez (INOX ACIER gratta)- maximálna odporúčaná dĺžka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maximálna odporúčaná dĺžka profilu 2500 mm</v>
      </c>
      <c r="B10">
        <v>1</v>
      </c>
      <c r="C10" t="s">
        <v>651</v>
      </c>
      <c r="D10">
        <v>0</v>
      </c>
      <c r="M10" t="str">
        <f>'Translate&amp;Prices&amp;Logo'!B558</f>
        <v>horizontálne (termín dodania 4 týždne)</v>
      </c>
      <c r="N10">
        <f>IF(Ram_2!$H$9=kombinace_2!M10,1,0)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maximálna odporúčaná dĺžka profilu 2500 mm</v>
      </c>
      <c r="B11">
        <v>1</v>
      </c>
      <c r="C11" t="s">
        <v>651</v>
      </c>
      <c r="D11">
        <v>0</v>
      </c>
      <c r="M11" t="str">
        <f>'Translate&amp;Prices&amp;Logo'!B559</f>
        <v>Vertikálne (termín dodania 4 týždne)</v>
      </c>
      <c r="N11">
        <f>IF(Ram_2!$H$9=kombinace_2!M11,2,0)</f>
        <v>0</v>
      </c>
      <c r="AC11">
        <v>0</v>
      </c>
      <c r="AD11">
        <v>0</v>
      </c>
      <c r="AF11" t="s">
        <v>105</v>
      </c>
      <c r="AG11" t="s">
        <v>969</v>
      </c>
      <c r="AY11" t="s">
        <v>954</v>
      </c>
      <c r="AZ11" t="s">
        <v>1023</v>
      </c>
      <c r="BQ11" s="215" t="s">
        <v>2267</v>
      </c>
      <c r="BY11">
        <v>5</v>
      </c>
      <c r="CA11">
        <v>240</v>
      </c>
      <c r="CD11" t="str">
        <f>CONCATENATE('Translate&amp;Prices&amp;Logo'!B664,"_K12")</f>
        <v>dolný_K12</v>
      </c>
      <c r="CE11">
        <v>1</v>
      </c>
      <c r="CF11">
        <v>0</v>
      </c>
      <c r="DN11" t="s">
        <v>69</v>
      </c>
      <c r="DO11" s="2" t="s">
        <v>69</v>
      </c>
      <c r="ED11" t="s">
        <v>1658</v>
      </c>
      <c r="EE11" t="s">
        <v>1752</v>
      </c>
      <c r="ER11" t="s">
        <v>2159</v>
      </c>
      <c r="ES11" t="s">
        <v>2165</v>
      </c>
    </row>
    <row r="12" spans="1:159">
      <c r="A12" t="str">
        <f>'Translate&amp;Prices&amp;Logo'!$B$70</f>
        <v>BRW champagne light - maximálna odporúčaná dĺžka profilu 2500 mm</v>
      </c>
      <c r="B12">
        <v>1</v>
      </c>
      <c r="C12" t="s">
        <v>651</v>
      </c>
      <c r="D12">
        <v>0</v>
      </c>
      <c r="M12" t="str">
        <f>'Translate&amp;Prices&amp;Logo'!B560</f>
        <v>Horizontálne aj vertikálne (termín dodania 4 týždne)</v>
      </c>
      <c r="N12">
        <f>IF(Ram_2!$H$9=kombinace_2!M12,3,0)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maximálna odporúčaná dĺžka profilu 2500 mm</v>
      </c>
      <c r="B13">
        <v>1</v>
      </c>
      <c r="C13" t="s">
        <v>651</v>
      </c>
      <c r="D13">
        <v>0</v>
      </c>
      <c r="AC13">
        <v>0</v>
      </c>
      <c r="AD13">
        <v>0</v>
      </c>
      <c r="AF13" t="s">
        <v>105</v>
      </c>
      <c r="AG13" t="s">
        <v>972</v>
      </c>
      <c r="AY13" t="s">
        <v>954</v>
      </c>
      <c r="AZ13" t="s">
        <v>1025</v>
      </c>
      <c r="BQ13" s="216"/>
      <c r="BR13" t="s">
        <v>966</v>
      </c>
      <c r="BY13" t="str">
        <f>'Translate&amp;Prices&amp;Logo'!$B$558</f>
        <v>horizontálne (termín dodania 4 týždne)</v>
      </c>
      <c r="BZ13">
        <v>1</v>
      </c>
      <c r="CA13">
        <v>288</v>
      </c>
      <c r="CD13" t="str">
        <f>CONCATENATE('Translate&amp;Prices&amp;Logo'!B664,"_kraby")</f>
        <v>dolný_kraby</v>
      </c>
      <c r="CE13">
        <v>1</v>
      </c>
      <c r="CF13">
        <v>0</v>
      </c>
      <c r="DN13" t="s">
        <v>220</v>
      </c>
      <c r="DO13" s="2" t="s">
        <v>68</v>
      </c>
      <c r="ED13" t="s">
        <v>2511</v>
      </c>
      <c r="EE13" t="s">
        <v>2510</v>
      </c>
      <c r="ER13" t="s">
        <v>2161</v>
      </c>
      <c r="ES13" t="s">
        <v>2161</v>
      </c>
    </row>
    <row r="14" spans="1:159">
      <c r="A14" t="str">
        <f>'Translate&amp;Prices&amp;Logo'!$B$16</f>
        <v>BRW tmavá nerez brúsená (INOX LIJA) - maximálna odporúčaná dĺžka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Vertikálne (termín dodania 4 týždne)</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maximálna odporúčaná dĺžka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Horizontálne aj vertikálne (termín dodania 4 týždne)</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maximálna odporúčaná dĺžka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StrongLift_horný</v>
      </c>
      <c r="CE16">
        <v>1</v>
      </c>
      <c r="CF16">
        <v>1</v>
      </c>
      <c r="DN16" t="s">
        <v>284</v>
      </c>
      <c r="DO16" s="2" t="s">
        <v>68</v>
      </c>
      <c r="ED16" t="s">
        <v>1662</v>
      </c>
      <c r="EE16" t="s">
        <v>1756</v>
      </c>
      <c r="ER16" t="s">
        <v>2450</v>
      </c>
      <c r="ES16" t="s">
        <v>2450</v>
      </c>
      <c r="FC16" s="251"/>
    </row>
    <row r="17" spans="1:159">
      <c r="A17" t="str">
        <f>'Translate&amp;Prices&amp;Logo'!$B$55</f>
        <v>BRW zlatá brúsená - maximálna odporúčaná dĺžka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StrongLift_spodný</v>
      </c>
      <c r="CE17">
        <v>1</v>
      </c>
      <c r="CF17">
        <v>1</v>
      </c>
      <c r="DN17" t="s">
        <v>1244</v>
      </c>
      <c r="DO17" s="2" t="s">
        <v>69</v>
      </c>
      <c r="ED17" t="s">
        <v>1663</v>
      </c>
      <c r="EE17" t="s">
        <v>1757</v>
      </c>
      <c r="ER17" t="s">
        <v>2452</v>
      </c>
      <c r="ES17" t="s">
        <v>2452</v>
      </c>
      <c r="FC17" s="251"/>
    </row>
    <row r="18" spans="1:159">
      <c r="A18" t="str">
        <f>'Translate&amp;Prices&amp;Logo'!$B$17</f>
        <v>Corleone (elox.) - maximálna odporúčaná dĺžka profilu 1500 mm</v>
      </c>
      <c r="B18">
        <v>2</v>
      </c>
      <c r="C18" t="s">
        <v>651</v>
      </c>
      <c r="D18">
        <v>0</v>
      </c>
      <c r="E18">
        <v>3</v>
      </c>
      <c r="F18" t="str">
        <f>'Translate&amp;Prices&amp;Logo'!$B$80</f>
        <v>Rocca elox (Vľavo a vpravo) + Varna elox (Hore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čierne mat - maximálna odporúčaná dĺžka profilu 1500 mm</v>
      </c>
      <c r="B19">
        <v>2</v>
      </c>
      <c r="C19" t="s">
        <v>651</v>
      </c>
      <c r="D19">
        <v>0</v>
      </c>
      <c r="F19" t="str">
        <f>'Translate&amp;Prices&amp;Logo'!$B$81</f>
        <v>Rocca čierna (Vľavo a vpravo) + Varna čierna (Hore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čierna mat - maximálna odporúčaná dĺžka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maximálna odporúčaná dĺžka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maximálna odporúčaná dĺžka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čierna mat - maximálna odporúčaná dĺžka profilu 2500 mm</v>
      </c>
      <c r="B23">
        <v>2</v>
      </c>
      <c r="C23" t="s">
        <v>998</v>
      </c>
      <c r="D23">
        <v>0</v>
      </c>
      <c r="AA23" t="s">
        <v>966</v>
      </c>
      <c r="AB23" t="e">
        <f>IF(Ram_2!AU7=2,"FREEspace","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biela matt RAL 9003 - maximálna odporúčaná dĺžka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maximálna odporúčaná dĺžka profilu 2150 mm</v>
      </c>
      <c r="B25">
        <v>2</v>
      </c>
      <c r="C25" t="s">
        <v>998</v>
      </c>
      <c r="D25">
        <v>0</v>
      </c>
      <c r="AF25" t="s">
        <v>105</v>
      </c>
      <c r="AG25" t="s">
        <v>980</v>
      </c>
      <c r="ED25" t="s">
        <v>1671</v>
      </c>
      <c r="EE25" t="s">
        <v>3259</v>
      </c>
      <c r="ER25" t="s">
        <v>2171</v>
      </c>
      <c r="ES25" t="s">
        <v>2171</v>
      </c>
    </row>
    <row r="26" spans="1:159">
      <c r="A26" t="str">
        <f>'Translate&amp;Prices&amp;Logo'!$B$22</f>
        <v>Modena (elox.) - maximálna odporúčaná dĺžka profilu 2500 mm</v>
      </c>
      <c r="B26">
        <v>2</v>
      </c>
      <c r="C26" t="s">
        <v>651</v>
      </c>
      <c r="D26">
        <v>0</v>
      </c>
      <c r="AF26" t="s">
        <v>106</v>
      </c>
      <c r="AG26" t="s">
        <v>980</v>
      </c>
      <c r="ED26" t="s">
        <v>1672</v>
      </c>
      <c r="EE26" t="s">
        <v>3260</v>
      </c>
      <c r="ER26" t="s">
        <v>2172</v>
      </c>
      <c r="ES26" t="s">
        <v>2172</v>
      </c>
    </row>
    <row r="27" spans="1:159">
      <c r="A27" t="str">
        <f>'Translate&amp;Prices&amp;Logo'!$B$23</f>
        <v>Modena čierna matt - maximálna odporúčaná dĺžka profilu 2500 mm</v>
      </c>
      <c r="B27">
        <v>2</v>
      </c>
      <c r="C27" t="s">
        <v>651</v>
      </c>
      <c r="D27">
        <v>0</v>
      </c>
      <c r="AF27" t="s">
        <v>105</v>
      </c>
      <c r="AG27" t="s">
        <v>981</v>
      </c>
      <c r="ED27" t="s">
        <v>1673</v>
      </c>
      <c r="EE27" t="s">
        <v>3262</v>
      </c>
      <c r="ER27" t="s">
        <v>2173</v>
      </c>
      <c r="ES27" t="s">
        <v>2173</v>
      </c>
    </row>
    <row r="28" spans="1:159">
      <c r="A28" t="str">
        <f>'Translate&amp;Prices&amp;Logo'!$B$25</f>
        <v>Modena čierna brúsená - maximálna odporúčaná dĺžka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brúsená LIJA - maximálna odporúčaná dĺžka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maximálna odporúčaná dĺžka profilu 2500 mm</v>
      </c>
      <c r="B30">
        <v>2</v>
      </c>
      <c r="C30" t="s">
        <v>651</v>
      </c>
      <c r="D30">
        <v>0</v>
      </c>
      <c r="AA30" t="s">
        <v>976</v>
      </c>
      <c r="AB30" t="str">
        <f>CONCATENATE('Translate&amp;Prices&amp;Logo'!B664,"_K12")</f>
        <v>dolný_K12</v>
      </c>
      <c r="AC30">
        <v>1</v>
      </c>
      <c r="AD30">
        <v>0</v>
      </c>
      <c r="AF30" t="s">
        <v>106</v>
      </c>
      <c r="AG30" t="s">
        <v>982</v>
      </c>
      <c r="ED30" t="s">
        <v>1676</v>
      </c>
      <c r="EE30" t="s">
        <v>3265</v>
      </c>
      <c r="ER30" t="s">
        <v>2463</v>
      </c>
      <c r="ES30" t="s">
        <v>2463</v>
      </c>
    </row>
    <row r="31" spans="1:159">
      <c r="A31" t="str">
        <f>'Translate&amp;Prices&amp;Logo'!$B$29</f>
        <v>Pisa (elox.) - maximálna odporúčaná dĺžka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biela mat RAL 9003 - maximálna odporúčaná dĺžka profilu 2500 mm</v>
      </c>
      <c r="B32">
        <v>2</v>
      </c>
      <c r="C32" t="s">
        <v>998</v>
      </c>
      <c r="D32">
        <v>0</v>
      </c>
      <c r="AA32" t="s">
        <v>976</v>
      </c>
      <c r="AB32" t="str">
        <f>CONCATENATE('Translate&amp;Prices&amp;Logo'!B664,"_kraby")</f>
        <v>dolný_kraby</v>
      </c>
      <c r="AC32">
        <v>1</v>
      </c>
      <c r="AD32">
        <v>0</v>
      </c>
      <c r="AF32" t="s">
        <v>106</v>
      </c>
      <c r="AG32" t="s">
        <v>983</v>
      </c>
      <c r="BY32" t="str">
        <f>'Translate&amp;Prices&amp;Logo'!$B$230</f>
        <v>Vľavo</v>
      </c>
      <c r="BZ32" t="str">
        <f>'Translate&amp;Prices&amp;Logo'!$B$589</f>
        <v>(Spodného)</v>
      </c>
      <c r="CA32" t="str">
        <f>'Translate&amp;Prices&amp;Logo'!$B$591</f>
        <v>(Horného)</v>
      </c>
      <c r="CC32" t="str">
        <f>'Translate&amp;Prices&amp;Logo'!$O$589</f>
        <v>(dolnej)</v>
      </c>
      <c r="CD32" t="str">
        <f>'Translate&amp;Prices&amp;Logo'!$O$591</f>
        <v>(górnej)</v>
      </c>
      <c r="ED32" t="s">
        <v>1678</v>
      </c>
      <c r="EE32" t="s">
        <v>3267</v>
      </c>
      <c r="ER32" t="s">
        <v>2465</v>
      </c>
      <c r="ES32" t="s">
        <v>2465</v>
      </c>
    </row>
    <row r="33" spans="1:149">
      <c r="A33" t="str">
        <f>'Translate&amp;Prices&amp;Logo'!$B$53</f>
        <v>Pisa biela lesk RAL 9003 - maximálna odporúčaná dĺžka profilu 2500 mm</v>
      </c>
      <c r="B33">
        <v>2</v>
      </c>
      <c r="C33" t="s">
        <v>998</v>
      </c>
      <c r="D33">
        <v>0</v>
      </c>
      <c r="AA33" t="s">
        <v>976</v>
      </c>
      <c r="AB33" t="s">
        <v>980</v>
      </c>
      <c r="AC33">
        <v>1</v>
      </c>
      <c r="AD33">
        <v>0</v>
      </c>
      <c r="AF33" t="s">
        <v>105</v>
      </c>
      <c r="AG33" t="s">
        <v>985</v>
      </c>
      <c r="BY33" t="str">
        <f>'Translate&amp;Prices&amp;Logo'!$B$229</f>
        <v>Vpravo</v>
      </c>
      <c r="BZ33" t="str">
        <f>'Translate&amp;Prices&amp;Logo'!$B$589</f>
        <v>(Spodného)</v>
      </c>
      <c r="CA33" t="str">
        <f>'Translate&amp;Prices&amp;Logo'!$B$591</f>
        <v>(Horného)</v>
      </c>
      <c r="CC33" t="str">
        <f>'Translate&amp;Prices&amp;Logo'!$O$589</f>
        <v>(dolnej)</v>
      </c>
      <c r="CD33" t="str">
        <f>'Translate&amp;Prices&amp;Logo'!$O$591</f>
        <v>(górnej)</v>
      </c>
      <c r="ED33" t="s">
        <v>1679</v>
      </c>
      <c r="EE33" t="s">
        <v>3268</v>
      </c>
      <c r="ER33" t="s">
        <v>2466</v>
      </c>
      <c r="ES33" t="s">
        <v>2466</v>
      </c>
    </row>
    <row r="34" spans="1:149">
      <c r="A34" t="str">
        <f>'Translate&amp;Prices&amp;Logo'!$B$30</f>
        <v>Pisa čierna matt - maximálna odporúčaná dĺžka profilu 2500 mm</v>
      </c>
      <c r="B34">
        <v>2</v>
      </c>
      <c r="C34" t="s">
        <v>998</v>
      </c>
      <c r="D34">
        <v>0</v>
      </c>
      <c r="AA34" t="s">
        <v>976</v>
      </c>
      <c r="AB34" t="s">
        <v>981</v>
      </c>
      <c r="AC34">
        <v>1</v>
      </c>
      <c r="AD34">
        <v>0</v>
      </c>
      <c r="AF34" t="s">
        <v>106</v>
      </c>
      <c r="AG34" t="s">
        <v>985</v>
      </c>
      <c r="BY34" t="str">
        <f>'Translate&amp;Prices&amp;Logo'!$B$227</f>
        <v>Navrchu</v>
      </c>
      <c r="BZ34" t="str">
        <f>'Translate&amp;Prices&amp;Logo'!$B$590</f>
        <v>(Ľavého)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maximálna odporúčaná dĺžka profilu 2150 mm</v>
      </c>
      <c r="B35">
        <v>2</v>
      </c>
      <c r="C35" t="s">
        <v>998</v>
      </c>
      <c r="D35">
        <v>0</v>
      </c>
      <c r="BY35" t="str">
        <f>'Translate&amp;Prices&amp;Logo'!$B$228</f>
        <v>Dole</v>
      </c>
      <c r="BZ35" t="str">
        <f>'Translate&amp;Prices&amp;Logo'!$B$590</f>
        <v>(Ľavého)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maximálna odporúčaná dĺžka profilu 2150 mm</v>
      </c>
      <c r="B36">
        <v>1</v>
      </c>
      <c r="C36" t="s">
        <v>651</v>
      </c>
      <c r="D36">
        <v>0</v>
      </c>
      <c r="ED36" t="s">
        <v>1620</v>
      </c>
      <c r="EE36" t="s">
        <v>1776</v>
      </c>
      <c r="ER36" t="s">
        <v>2176</v>
      </c>
      <c r="ES36" t="s">
        <v>2176</v>
      </c>
    </row>
    <row r="37" spans="1:149">
      <c r="A37" t="str">
        <f>'Translate&amp;Prices&amp;Logo'!$B$42</f>
        <v>Rocca čierna mat - maximálna odporúčaná dĺžka profilu 2150 mm</v>
      </c>
      <c r="B37">
        <v>1</v>
      </c>
      <c r="C37" t="s">
        <v>651</v>
      </c>
      <c r="D37">
        <v>0</v>
      </c>
      <c r="BY37" t="s">
        <v>1332</v>
      </c>
      <c r="ED37" t="s">
        <v>1621</v>
      </c>
      <c r="EE37" t="s">
        <v>1777</v>
      </c>
      <c r="ER37" t="s">
        <v>2219</v>
      </c>
      <c r="ES37" t="s">
        <v>2213</v>
      </c>
    </row>
    <row r="38" spans="1:149">
      <c r="A38" t="str">
        <f>'Translate&amp;Prices&amp;Logo'!$B$63</f>
        <v>Treviso čierna matt - maximálna odporúčaná dĺžka profilu 2750 mm</v>
      </c>
      <c r="B38">
        <v>1</v>
      </c>
      <c r="C38" t="s">
        <v>651</v>
      </c>
      <c r="D38">
        <v>0</v>
      </c>
      <c r="ED38" t="s">
        <v>1622</v>
      </c>
      <c r="EE38" t="s">
        <v>1778</v>
      </c>
      <c r="ER38" t="s">
        <v>2220</v>
      </c>
      <c r="ES38" t="s">
        <v>2214</v>
      </c>
    </row>
    <row r="39" spans="1:149">
      <c r="A39" t="str">
        <f>'Translate&amp;Prices&amp;Logo'!$B$34</f>
        <v>Verona (elox.) - maximálna odporúčaná dĺžka profilu 2500 mm</v>
      </c>
      <c r="B39">
        <v>1</v>
      </c>
      <c r="C39" t="s">
        <v>651</v>
      </c>
      <c r="D39">
        <v>0</v>
      </c>
      <c r="AA39" t="s">
        <v>2504</v>
      </c>
      <c r="AB39" t="s">
        <v>2502</v>
      </c>
      <c r="ED39" t="s">
        <v>1623</v>
      </c>
      <c r="EE39" t="s">
        <v>1779</v>
      </c>
      <c r="ER39" t="s">
        <v>2221</v>
      </c>
      <c r="ES39" t="s">
        <v>2215</v>
      </c>
    </row>
    <row r="40" spans="1:149">
      <c r="A40" t="str">
        <f>'Translate&amp;Prices&amp;Logo'!$B$35</f>
        <v>Verona brúsená - maximálna odporúčaná dĺžka profilu 2500 mm</v>
      </c>
      <c r="B40">
        <v>1</v>
      </c>
      <c r="C40" t="s">
        <v>651</v>
      </c>
      <c r="D40">
        <v>0</v>
      </c>
      <c r="AA40" t="s">
        <v>2504</v>
      </c>
      <c r="AB40" t="str">
        <f>'Translate&amp;Prices&amp;Logo'!B659</f>
        <v>StrongLift_horný</v>
      </c>
      <c r="AC40">
        <v>1</v>
      </c>
      <c r="AD40">
        <v>0</v>
      </c>
      <c r="ED40" t="s">
        <v>1624</v>
      </c>
      <c r="EE40" t="s">
        <v>1780</v>
      </c>
      <c r="ER40" t="s">
        <v>2222</v>
      </c>
      <c r="ES40" t="s">
        <v>2216</v>
      </c>
    </row>
    <row r="41" spans="1:149">
      <c r="A41" t="str">
        <f>'Translate&amp;Prices&amp;Logo'!$B$37</f>
        <v>Verona čierna mat - maximálna odporúčaná dĺžka profilu 2500 mm</v>
      </c>
      <c r="B41">
        <v>1</v>
      </c>
      <c r="C41" t="s">
        <v>651</v>
      </c>
      <c r="D41">
        <v>0</v>
      </c>
      <c r="AB41" t="str">
        <f>'Translate&amp;Prices&amp;Logo'!B660</f>
        <v>StrongLift_spodný</v>
      </c>
      <c r="AC41">
        <v>1</v>
      </c>
      <c r="AD41">
        <v>0</v>
      </c>
      <c r="ED41" t="s">
        <v>1625</v>
      </c>
      <c r="EE41" t="s">
        <v>1781</v>
      </c>
      <c r="ER41" t="s">
        <v>2223</v>
      </c>
      <c r="ES41" t="s">
        <v>2217</v>
      </c>
    </row>
    <row r="42" spans="1:149">
      <c r="A42" t="str">
        <f>'Translate&amp;Prices&amp;Logo'!$B$36</f>
        <v>Verona čierna lesk - maximálna odporúčaná dĺžka profilu 2500 mm</v>
      </c>
      <c r="B42">
        <v>1</v>
      </c>
      <c r="C42" t="s">
        <v>651</v>
      </c>
      <c r="D42">
        <v>0</v>
      </c>
      <c r="AA42" t="s">
        <v>2086</v>
      </c>
      <c r="AB42" t="s">
        <v>1010</v>
      </c>
      <c r="ED42" t="s">
        <v>1626</v>
      </c>
      <c r="EE42" t="s">
        <v>1782</v>
      </c>
      <c r="ER42" t="s">
        <v>2224</v>
      </c>
      <c r="ES42" t="s">
        <v>2218</v>
      </c>
    </row>
    <row r="43" spans="1:149">
      <c r="A43" t="str">
        <f>'Translate&amp;Prices&amp;Logo'!$B$38</f>
        <v>Verona hnědá - maximálna odporúčaná dĺžka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maximálna odporúčaná dĺžka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nerez brúsená - maximálna odporúčaná dĺžka profilu 2500 mm</v>
      </c>
      <c r="B45">
        <v>1</v>
      </c>
      <c r="C45" t="s">
        <v>651</v>
      </c>
      <c r="D45">
        <v>0</v>
      </c>
      <c r="AB45" t="s">
        <v>1111</v>
      </c>
      <c r="AC45">
        <v>0</v>
      </c>
      <c r="AD45">
        <v>0</v>
      </c>
      <c r="ED45" t="s">
        <v>1629</v>
      </c>
      <c r="EE45" t="s">
        <v>1785</v>
      </c>
      <c r="ER45" t="s">
        <v>2243</v>
      </c>
      <c r="ES45" t="s">
        <v>2237</v>
      </c>
    </row>
    <row r="46" spans="1:149">
      <c r="A46" t="str">
        <f>'Translate&amp;Prices&amp;Logo'!$B$41</f>
        <v>Verona svetlá nerez brúsená Acier - maximálna odporúčaná dĺžka profilu 2500 mm</v>
      </c>
      <c r="B46">
        <v>1</v>
      </c>
      <c r="C46" t="s">
        <v>651</v>
      </c>
      <c r="D46">
        <v>0</v>
      </c>
      <c r="ED46" t="s">
        <v>1630</v>
      </c>
      <c r="EE46" t="s">
        <v>1786</v>
      </c>
      <c r="ER46" t="s">
        <v>2244</v>
      </c>
      <c r="ES46" t="s">
        <v>2238</v>
      </c>
    </row>
    <row r="47" spans="1:149">
      <c r="A47" t="str">
        <f>'Translate&amp;Prices&amp;Logo'!$B$62</f>
        <v>Verona Ivory mat - maximálna odporúčaná dĺžka profilu 2150 mm</v>
      </c>
      <c r="B47">
        <v>1</v>
      </c>
      <c r="C47" t="s">
        <v>651</v>
      </c>
      <c r="D47">
        <v>0</v>
      </c>
      <c r="ED47" t="s">
        <v>1631</v>
      </c>
      <c r="EE47" t="s">
        <v>1787</v>
      </c>
      <c r="ER47" t="s">
        <v>2245</v>
      </c>
      <c r="ES47" t="s">
        <v>2239</v>
      </c>
    </row>
    <row r="48" spans="1:149">
      <c r="A48" t="str">
        <f>'Translate&amp;Prices&amp;Logo'!$B$65</f>
        <v>Verona kašmír - maximálna odporúčaná dĺžka profilu 2150 mm</v>
      </c>
      <c r="B48">
        <v>1</v>
      </c>
      <c r="C48" t="s">
        <v>651</v>
      </c>
      <c r="D48">
        <v>0</v>
      </c>
      <c r="ED48" t="s">
        <v>1632</v>
      </c>
      <c r="EE48" t="s">
        <v>1788</v>
      </c>
      <c r="ER48" t="s">
        <v>2246</v>
      </c>
      <c r="ES48" t="s">
        <v>2240</v>
      </c>
    </row>
    <row r="49" spans="1:149">
      <c r="A49" t="str">
        <f>'Translate&amp;Prices&amp;Logo'!$B$24</f>
        <v>Verona zlatá - maximálna odporúčaná dĺžka profilu 2150 mm</v>
      </c>
      <c r="B49">
        <v>1</v>
      </c>
      <c r="C49" t="s">
        <v>651</v>
      </c>
      <c r="D49">
        <v>0</v>
      </c>
      <c r="AA49" t="s">
        <v>2087</v>
      </c>
      <c r="AB49" t="s">
        <v>2089</v>
      </c>
      <c r="ED49" t="s">
        <v>1633</v>
      </c>
      <c r="EE49" t="s">
        <v>1789</v>
      </c>
      <c r="ER49" t="s">
        <v>2247</v>
      </c>
      <c r="ES49" t="s">
        <v>2241</v>
      </c>
    </row>
    <row r="50" spans="1:149">
      <c r="A50" t="str">
        <f>'Translate&amp;Prices&amp;Logo'!$B$56</f>
        <v>Verona zlatá brúsená - maximálna odporúčaná dĺžka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maximálna odporúčaná dĺžka profilu 2500 mm</v>
      </c>
      <c r="B51">
        <v>2</v>
      </c>
      <c r="C51" t="s">
        <v>651</v>
      </c>
      <c r="D51">
        <v>1</v>
      </c>
      <c r="AB51" t="s">
        <v>2380</v>
      </c>
      <c r="AC51">
        <v>0</v>
      </c>
      <c r="AD51">
        <v>0</v>
      </c>
      <c r="ED51" t="s">
        <v>1635</v>
      </c>
      <c r="EE51" t="s">
        <v>1791</v>
      </c>
      <c r="ER51" t="s">
        <v>2477</v>
      </c>
      <c r="ES51" t="s">
        <v>2469</v>
      </c>
    </row>
    <row r="52" spans="1:149">
      <c r="A52" t="str">
        <f>'Translate&amp;Prices&amp;Logo'!$B$44</f>
        <v>Vivaro čierne mat - maximálna odporúčaná dĺžka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maximálna odporúčaná dĺžka profilu 2500 mm</v>
      </c>
      <c r="B53">
        <v>2</v>
      </c>
      <c r="C53" t="s">
        <v>651</v>
      </c>
      <c r="D53">
        <v>0</v>
      </c>
      <c r="AB53" t="s">
        <v>2376</v>
      </c>
      <c r="AC53">
        <v>0</v>
      </c>
      <c r="AD53">
        <v>0</v>
      </c>
      <c r="ED53" t="s">
        <v>1637</v>
      </c>
      <c r="EE53" t="s">
        <v>1793</v>
      </c>
      <c r="ER53" t="s">
        <v>2479</v>
      </c>
      <c r="ES53" t="s">
        <v>2471</v>
      </c>
    </row>
    <row r="54" spans="1:149">
      <c r="A54" t="str">
        <f>'Translate&amp;Prices&amp;Logo'!$B$47</f>
        <v>Vivaro biela matt RAL 9003 - maximálna odporúčaná dĺžka profilu 2500 mm</v>
      </c>
      <c r="B54">
        <v>2</v>
      </c>
      <c r="C54" t="s">
        <v>651</v>
      </c>
      <c r="D54">
        <v>0</v>
      </c>
      <c r="ED54" t="s">
        <v>1638</v>
      </c>
      <c r="EE54" t="s">
        <v>1794</v>
      </c>
      <c r="ER54" t="s">
        <v>2480</v>
      </c>
      <c r="ES54" t="s">
        <v>2472</v>
      </c>
    </row>
    <row r="55" spans="1:149">
      <c r="A55" t="str">
        <f>'Translate&amp;Prices&amp;Logo'!$B$48</f>
        <v>Vivaro biela lesk RAL 9003 - maximálna odporúčaná dĺžka profilu 2500 mm</v>
      </c>
      <c r="B55">
        <v>2</v>
      </c>
      <c r="C55" t="s">
        <v>651</v>
      </c>
      <c r="D55">
        <v>0</v>
      </c>
      <c r="ED55" t="s">
        <v>1639</v>
      </c>
      <c r="EE55" t="s">
        <v>1795</v>
      </c>
      <c r="ER55" t="s">
        <v>2481</v>
      </c>
      <c r="ES55" t="s">
        <v>2473</v>
      </c>
    </row>
    <row r="56" spans="1:149">
      <c r="A56" t="str">
        <f>'Translate&amp;Prices&amp;Logo'!$B$31</f>
        <v>Vivaro zlatá - maximálna odporúčaná dĺžka profilu 2150 mm</v>
      </c>
      <c r="B56">
        <v>2</v>
      </c>
      <c r="C56" t="s">
        <v>651</v>
      </c>
      <c r="D56">
        <v>1</v>
      </c>
      <c r="ED56" t="s">
        <v>1640</v>
      </c>
      <c r="EE56" t="s">
        <v>1796</v>
      </c>
      <c r="ER56" t="s">
        <v>2482</v>
      </c>
      <c r="ES56" t="s">
        <v>2474</v>
      </c>
    </row>
    <row r="57" spans="1:149">
      <c r="A57" t="str">
        <f>'Translate&amp;Prices&amp;Logo'!$B$57</f>
        <v>Vivaro zlatá brúsená - maximálna odporúčaná dĺžka profilu 2150 mm</v>
      </c>
      <c r="B57">
        <v>2</v>
      </c>
      <c r="C57" t="s">
        <v>651</v>
      </c>
      <c r="D57">
        <v>0</v>
      </c>
      <c r="ED57" t="s">
        <v>1641</v>
      </c>
      <c r="EE57" t="s">
        <v>1797</v>
      </c>
      <c r="ER57" t="s">
        <v>2225</v>
      </c>
      <c r="ES57" t="s">
        <v>2213</v>
      </c>
    </row>
    <row r="58" spans="1:149">
      <c r="A58" t="str">
        <f>'Translate&amp;Prices&amp;Logo'!$B$80</f>
        <v>Rocca elox (Vľavo a vpravo) + Varna elox (Hore a dole)</v>
      </c>
      <c r="B58">
        <v>3</v>
      </c>
      <c r="C58" t="s">
        <v>651</v>
      </c>
      <c r="D58">
        <v>0</v>
      </c>
      <c r="ED58" t="s">
        <v>1642</v>
      </c>
      <c r="EE58" t="s">
        <v>1798</v>
      </c>
      <c r="ER58" t="s">
        <v>2226</v>
      </c>
      <c r="ES58" t="s">
        <v>2214</v>
      </c>
    </row>
    <row r="59" spans="1:149">
      <c r="A59" t="str">
        <f>'Translate&amp;Prices&amp;Logo'!$B$81</f>
        <v>Rocca čierna (Vľavo a vpravo) + Varna čierna (Hore a dole)</v>
      </c>
      <c r="B59">
        <v>3</v>
      </c>
      <c r="C59" t="s">
        <v>651</v>
      </c>
      <c r="D59">
        <v>0</v>
      </c>
      <c r="AA59" t="s">
        <v>2088</v>
      </c>
      <c r="AB59" t="s">
        <v>2090</v>
      </c>
      <c r="ED59" t="s">
        <v>1643</v>
      </c>
      <c r="EE59" t="s">
        <v>1799</v>
      </c>
      <c r="ER59" t="s">
        <v>2227</v>
      </c>
      <c r="ES59" t="s">
        <v>2215</v>
      </c>
    </row>
    <row r="60" spans="1:149">
      <c r="A60" t="str">
        <f>'Translate&amp;Prices&amp;Logo'!$B$71</f>
        <v>ROMA čierna mat - maximálna odporúčaná dĺžka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maximálna odporúčaná dĺžka profilu 2696 mm</v>
      </c>
      <c r="B61">
        <v>1</v>
      </c>
      <c r="C61" t="s">
        <v>651</v>
      </c>
      <c r="D61">
        <v>0</v>
      </c>
      <c r="AB61" t="s">
        <v>970</v>
      </c>
      <c r="AC61">
        <v>0</v>
      </c>
      <c r="AD61">
        <v>0</v>
      </c>
      <c r="ED61" t="s">
        <v>1645</v>
      </c>
      <c r="EE61" t="s">
        <v>1801</v>
      </c>
      <c r="ER61" t="s">
        <v>2229</v>
      </c>
      <c r="ES61" t="s">
        <v>2217</v>
      </c>
    </row>
    <row r="62" spans="1:149">
      <c r="A62" t="str">
        <f>'Translate&amp;Prices&amp;Logo'!$B$73</f>
        <v>ROMA GRIP čierna mat - maximálna odporúčaná dĺžka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maximálna odporúčaná dĺžka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maximálna odporúčaná dĺžka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"&amp;3</f>
        <v>Rámček  3</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IFERROR(IF(kombinace_3!FC2=TRUE,'Translate&amp;Prices&amp;Logo'!B654,IF(VLOOKUP(H8,kombinace_3!$A:$E,5,0)=3,'Translate&amp;Prices&amp;Logo'!B642,"")),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Rámček  1</v>
      </c>
      <c r="C5" s="634"/>
      <c r="D5" s="634"/>
      <c r="E5" s="106"/>
      <c r="F5" s="634" t="str">
        <f>'Translate&amp;Prices&amp;Logo'!$B$169&amp;" "&amp;" "&amp;2</f>
        <v>Rámček  2</v>
      </c>
      <c r="G5" s="634"/>
      <c r="H5" s="634"/>
      <c r="I5" s="9"/>
      <c r="J5" s="634" t="str">
        <f>'Translate&amp;Prices&amp;Logo'!$B$169&amp;" "&amp;" "&amp;3</f>
        <v>Rámček  3</v>
      </c>
      <c r="K5" s="634"/>
      <c r="L5" s="634"/>
      <c r="M5" s="9"/>
      <c r="N5" s="634" t="str">
        <f>'Translate&amp;Prices&amp;Logo'!$B$169&amp;" "&amp;" "&amp;4</f>
        <v>Rámček  4</v>
      </c>
      <c r="O5" s="634"/>
      <c r="P5" s="634"/>
      <c r="Q5" s="9"/>
      <c r="R5" s="634" t="str">
        <f>'Translate&amp;Prices&amp;Logo'!$B$169&amp;" "&amp;" "&amp;5</f>
        <v>Rámček  5</v>
      </c>
      <c r="S5" s="634"/>
      <c r="T5" s="634"/>
      <c r="U5" s="9"/>
      <c r="V5" s="634" t="str">
        <f>'Translate&amp;Prices&amp;Logo'!$B$169&amp;" "&amp;" "&amp;6</f>
        <v>Rámček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Kombinácia 2 profilov</v>
      </c>
      <c r="C7" s="667"/>
      <c r="D7" s="667"/>
      <c r="E7" s="667"/>
      <c r="F7" s="667"/>
      <c r="G7" s="616" t="str">
        <f>IF(kombinace_3!FC2=TRUE,AB4,"")</f>
        <v/>
      </c>
      <c r="H7" s="616"/>
      <c r="I7" s="616"/>
      <c r="J7" s="616"/>
      <c r="K7" s="616"/>
      <c r="L7" s="616"/>
      <c r="M7" s="616"/>
      <c r="N7" s="616"/>
      <c r="O7" s="616"/>
      <c r="P7" s="616"/>
      <c r="Q7" s="617"/>
      <c r="R7" s="231"/>
      <c r="S7" s="602" t="str">
        <f>'Translate&amp;Prices&amp;Logo'!$B$572</f>
        <v>Upozornenie: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VLOOKUP(H8,kombinace_3!$A3:$B100,2,0)</f>
        <v>#N/A</v>
      </c>
      <c r="AV7" s="140" t="e">
        <f>IF(AU7=2,"Široký",IF(AU7=1,"Úzký",IF(AU7=3,"kombo")))</f>
        <v>#N/A</v>
      </c>
    </row>
    <row r="8" spans="1:65" ht="45.6" customHeight="1">
      <c r="A8" s="61"/>
      <c r="B8" s="223" t="str">
        <f>'Translate&amp;Prices&amp;Logo'!$B$653</f>
        <v>Výplň rámčeka sieťka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IF(AU10&gt;0,'Translate&amp;Prices&amp;Logo'!B303,IF(H8=kombinace_3!A59,'Translate&amp;Prices&amp;Logo'!B580,0))</f>
        <v>0</v>
      </c>
      <c r="T8" s="654"/>
      <c r="U8" s="654"/>
      <c r="V8" s="654"/>
      <c r="W8" s="654"/>
      <c r="X8" s="654"/>
      <c r="Y8" s="655"/>
      <c r="Z8" s="80"/>
      <c r="AA8" s="76"/>
      <c r="AB8" s="9"/>
      <c r="AC8" s="584" t="str">
        <f>'Translate&amp;Prices&amp;Logo'!$B$242</f>
        <v>Vzdialenosť od ľavého kraja</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IFERROR(IF(AND(VLOOKUP(H8,kombinace_3!$A:$D,4,0)=1,kombinace_3!FC2=FALSE),'Translate&amp;Prices&amp;Logo'!$B$543,0),0)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IFERROR((VLOOKUP(H12,kombinace_3!$DP$2:$DQ$3,2,0)),"")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Vzdialenosť od horného okraja</v>
      </c>
      <c r="AF10" s="9"/>
      <c r="AG10" s="9"/>
      <c r="AH10" s="9"/>
      <c r="AI10" s="60"/>
      <c r="AJ10" s="61"/>
      <c r="AK10" s="9"/>
      <c r="AL10" s="9"/>
      <c r="AM10" s="9"/>
      <c r="AN10" s="9"/>
      <c r="AO10" s="9"/>
      <c r="AP10" s="77"/>
      <c r="AQ10" s="314"/>
      <c r="AR10" s="9"/>
      <c r="AS10" s="9"/>
      <c r="AT10" s="139" t="s">
        <v>1196</v>
      </c>
      <c r="AU10" s="140">
        <f>IFERROR(VLOOKUP(H9,kombinace_3!$BY$13:$BZ$15,2,0),0)</f>
        <v>0</v>
      </c>
      <c r="AV10" s="140"/>
    </row>
    <row r="11" spans="1:65" ht="18" customHeight="1">
      <c r="A11" s="61"/>
      <c r="B11" s="642" t="str">
        <f>('Translate&amp;Prices&amp;Logo'!$B$543)&amp;" "&amp;"("&amp;'Translate&amp;Prices&amp;Logo'!$B$174&amp;")"</f>
        <v>Deliace lišty (Počet kusov)</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IFERROR(IF(kombinace_3!$H$1=TRUE,BA2+AY3,0),0)</f>
        <v>0</v>
      </c>
      <c r="AU11" s="146"/>
      <c r="AV11" s="140"/>
    </row>
    <row r="12" spans="1:65" ht="18" customHeight="1">
      <c r="A12" s="61"/>
      <c r="B12" s="585" t="str">
        <f>'Translate&amp;Prices&amp;Logo'!$B$258</f>
        <v>Typ kovania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kovania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 kovania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IF(H15=kombinace_3!AB40,'Translate&amp;Prices&amp;Logo'!$B$224,IF(H15=kombinace_3!AB41,'Translate&amp;Prices&amp;Logo'!$B$224,IF(H12='závěsy dle výklopu'!BQ2,'Translate&amp;Prices&amp;Logo'!$B$222,'Translate&amp;Prices&amp;Logo'!$B$218)))</f>
        <v>Výber pozície rámčeku</v>
      </c>
      <c r="C16" s="641"/>
      <c r="D16" s="641"/>
      <c r="E16" s="641"/>
      <c r="F16" s="639"/>
      <c r="G16" s="639"/>
      <c r="H16" s="639"/>
      <c r="I16" s="639"/>
      <c r="J16" s="659" t="str">
        <f>IF(OR(H15=kombinace_3!AB40,H15=kombinace_3!AB7,H15=kombinace_3!AB15,H15=kombinace_3!AB20,H15=kombinace_3!AB21,H15=kombinace_3!AB22),'Translate&amp;Prices&amp;Logo'!$B$226,IF(H15=kombinace_3!AB41,'Translate&amp;Prices&amp;Logo'!$B$226,'Translate&amp;Prices&amp;Logo'!$B$232))</f>
        <v>Vyhotovenie druhého dvierka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IF(H12='Translate&amp;Prices&amp;Logo'!B551,'Translate&amp;Prices&amp;Logo'!B238,IF(H15=kombinace_3!AB8,'Translate&amp;Prices&amp;Logo'!B284,0))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85">
        <f>IFERROR(IF(VLOOKUP(H15,kombinace_3!CD:CE,2,0)=1,'Translate&amp;Prices&amp;Logo'!$B$547,0),0)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IFERROR(IF(H12='Translate&amp;Prices&amp;Logo'!B551,'Translate&amp;Prices&amp;Logo'!$B$223,IF(VLOOKUP(H15,kombinace_3!CD:CE,2,0)=1,'Translate&amp;Prices&amp;Logo'!$B$223,)),0)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Vzdialenosť od spodného okraja</v>
      </c>
      <c r="AM19" s="629"/>
      <c r="AN19" s="620">
        <v>0</v>
      </c>
      <c r="AO19" s="620"/>
      <c r="AP19" s="76"/>
      <c r="AQ19" s="314"/>
      <c r="AR19" s="675" t="str">
        <f>'Translate&amp;Prices&amp;Logo'!$B$176</f>
        <v>Výška</v>
      </c>
      <c r="AS19" s="9"/>
      <c r="AT19" s="146"/>
      <c r="AU19" s="138">
        <f>IFERROR(IF(H12='závěsy dle výklopu'!BR2,VLOOKUP(H15,kombinace_3!$CD$3:$CF$18,3,0),IF(H12='závěsy dle výklopu'!BQ2,1,0)),0)</f>
        <v>0</v>
      </c>
      <c r="AV19" s="140">
        <f>IFERROR(VLOOKUP(H15,kombinace_3!$CD:$CF,3,0),0)</f>
        <v>0</v>
      </c>
    </row>
    <row r="20" spans="1:52" ht="18" customHeight="1">
      <c r="A20" s="61"/>
      <c r="B20" s="644">
        <f>IF(H13&lt;&gt;"Salice",(IFERROR('Translate&amp;Prices&amp;Logo'!$B$242&amp;" "&amp;(VLOOKUP(H17,kombinace_3!$BY$32:$CA$35,2,0)),0)),0)</f>
        <v>0</v>
      </c>
      <c r="C20" s="583"/>
      <c r="D20" s="583"/>
      <c r="E20" s="583"/>
      <c r="F20" s="638">
        <v>100</v>
      </c>
      <c r="G20" s="638"/>
      <c r="H20" s="638"/>
      <c r="I20" s="638"/>
      <c r="J20" s="583">
        <f>IFERROR('Translate&amp;Prices&amp;Logo'!$B$242&amp;" "&amp;(VLOOKUP(H17,kombinace_3!$BY$32:$CA$35,3,0)),0)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IF(kombinace_3!FC2=FALSE,'Translate&amp;Prices&amp;Logo'!$B$173," ")</f>
        <v>Typ upravy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Už nemeniť po tom čo vyberiete typ skla/sieťky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VLOOKUP(H17,kombinace_3!$BY$3:$BZ$6,2,0)</f>
        <v>#N/A</v>
      </c>
      <c r="AV23" s="140"/>
    </row>
    <row r="24" spans="1:52" ht="18" customHeight="1">
      <c r="A24" s="61"/>
      <c r="B24" s="614" t="str">
        <f>'Translate&amp;Prices&amp;Logo'!$B$562</f>
        <v>Typ fólie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Vzdialenosť od ľavého kraja</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skla/sieťky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VLOOKUP(H27,kombinace_3!$BY3:$BZ6,2,0)</f>
        <v>#N/A</v>
      </c>
      <c r="AV25" s="140"/>
    </row>
    <row r="26" spans="1:52" ht="18" customHeight="1">
      <c r="A26" s="61"/>
      <c r="B26" s="585" t="str">
        <f>'Translate&amp;Prices&amp;Logo'!$B$549</f>
        <v>Rozteč úchytiek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Umiestnenie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kusov</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Dodať vrátane uvedeného kovania -&gt; vyberte zo zoznamu: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VLOOKUP(H14,kombinace_3!$DN$7:$DO$24,2,0)</f>
        <v>#N/A</v>
      </c>
      <c r="AB29" s="626">
        <f>IF(kombinace_3!FC2=TRUE,AB4,IF(H12='závěsy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rámčekov celkom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Šírka</v>
      </c>
      <c r="AG30" s="625"/>
      <c r="AH30" s="625"/>
      <c r="AI30" s="618"/>
      <c r="AJ30" s="618"/>
      <c r="AK30" s="618"/>
      <c r="AL30" s="9"/>
      <c r="AM30" s="9"/>
      <c r="AN30" s="9"/>
      <c r="AO30" s="9"/>
      <c r="AP30" s="9"/>
      <c r="AQ30" s="9"/>
      <c r="AR30" s="9"/>
      <c r="AS30" s="9"/>
      <c r="AT30" s="146"/>
      <c r="AU30" s="138" t="e">
        <f>HLOOKUP("_Úzký_dolny_K12",kombinace_3!CV2:CW19,3,FALSE)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Súhrn</v>
      </c>
      <c r="AP31" s="674"/>
      <c r="AQ31" s="674"/>
      <c r="AR31" s="674"/>
      <c r="AS31" s="9"/>
      <c r="AT31" s="146"/>
      <c r="AU31" s="138" t="e">
        <f>AD44</f>
        <v>#N/A</v>
      </c>
    </row>
    <row r="32" spans="1:52" ht="17.25" customHeight="1">
      <c r="A32" s="61"/>
      <c r="B32" s="635" t="str">
        <f>'Translate&amp;Prices&amp;Logo'!$B$171</f>
        <v>Uvedené ceny sú bez DPH a nezahrňujú cenu požadovaného kovania!</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Rámy bez skla sa dodávajú v demontovanom stave.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IF(kombinace_3!V1=2,((AR14/1000)*(AI30/1000))*'Translate&amp;Prices&amp;Logo'!C94,0)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IF(kombinace_3!$V$1=3,IFERROR(((VLOOKUP(H24,'Translate&amp;Prices&amp;Logo'!B91:C93,2,0))*(AR14/1000)),0),0)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IF(kombinace_3!FC2=TRUE,_profily_síťka,IF(kombinace_3!H1=TRUE,_kombinovane_profily,_vše_profily))</f>
        <v>BRW (elox.) - maximálna odporúčaná odporúčaná dĺžka profilu 2500 mm</v>
      </c>
      <c r="L36" s="157" t="str">
        <f t="array" ref="L36:M36">IF(kombinace_3!H1=TRUE,'závěsy dle výklopu'!$BQ$2:$BR$2,
IF(H8=kombinace_3!A36,'závěsy dle výklopu'!$BQ$2,IF(H8=kombinace_3!A37,'závěsy dle výklopu'!$BQ$2,IF(H8=kombinace_3!A60,'závěsy dle výklopu'!$BQ$2,IF(H8=kombinace_3!A61,'závěsy dle výklopu'!$BQ$2,IF(H8=kombinace_3!A62,'závěsy dle výklopu'!$BQ$2,IF(H8=kombinace_3!A63,'závěsy dle výklopu'!$BQ$2,'závěsy dle výklopu'!$BQ$2:$BR$2)))))))</f>
        <v>Závesy</v>
      </c>
      <c r="M36" s="157" t="str">
        <v>Výklopy</v>
      </c>
      <c r="P36" s="157" t="str" cm="1">
        <f t="array" ref="P36:P38">IF(H13=kombinace_3!BQ11,kombinace_3!$DN$2,kombinace_3!$DN$2:$DN$4)</f>
        <v>Naložený</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55"/>
      <c r="AX36" s="255"/>
      <c r="AY36" s="255"/>
    </row>
    <row r="37" spans="1:58" s="157" customFormat="1" ht="15" hidden="1" customHeight="1">
      <c r="A37" s="140"/>
      <c r="B37" s="157" t="str">
        <v>BRW biela matt RAL 9003 - maximálna odporúčaná dĺžka profilu 2500 mm</v>
      </c>
      <c r="P37" s="157" t="e">
        <v>#N/A</v>
      </c>
      <c r="T37" s="157">
        <f ca="1"/>
        <v>0</v>
      </c>
      <c r="W37" s="157" t="str" cm="1">
        <f t="array" ref="W37:W38">IF(Hlavní!$V$39=3,"",'Translate&amp;Prices&amp;Logo'!B556:B557)</f>
        <v>Áno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biela lesk RAL 9003 - maximálna odporúčaná dĺžka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Nie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brúsené - maximálna odporúčaná dĺžka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čierna matt - maximálna odporúčaná dĺžka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čierna brúsená - maximálna odporúčaná dĺžka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svetlá nerez (INOX ACIER gratta)- maximálna odporúčaná dĺžka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maximálna odporúčaná dĺžka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maximálna odporúčaná dĺžka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maximálna odporúčaná dĺžka profilu 2500 mm</v>
      </c>
      <c r="M45" s="157" t="s">
        <v>2500</v>
      </c>
      <c r="N45" s="157" t="s">
        <v>1039</v>
      </c>
      <c r="AS45" s="133"/>
      <c r="AW45" s="255"/>
      <c r="AX45" s="255"/>
      <c r="AY45" s="255"/>
    </row>
    <row r="46" spans="1:58" s="157" customFormat="1" ht="14.85" hidden="1" customHeight="1">
      <c r="A46" s="140"/>
      <c r="B46" s="157" t="str">
        <v>BRW hnědá - maximálna odporúčaná dĺžka profilu 2500 mm</v>
      </c>
      <c r="M46" s="157" t="s">
        <v>4323</v>
      </c>
    </row>
    <row r="47" spans="1:58" s="157" customFormat="1" ht="14.85" hidden="1" customHeight="1">
      <c r="A47" s="140"/>
      <c r="B47" s="157" t="str">
        <v>BRW tmavá nerez brúsená (INOX LIJA) - maximálna odporúčaná dĺžka profilu 2500 mm</v>
      </c>
      <c r="M47" s="157" t="s">
        <v>4324</v>
      </c>
      <c r="T47" s="157" t="str">
        <f>CONCATENATE(H13,"_",VLOOKUP(kombinace_3!H1,kombinace_3!$J$14:$K$15,2,0))</f>
        <v>_2</v>
      </c>
      <c r="AD47" s="157" t="s">
        <v>4322</v>
      </c>
      <c r="AI47" s="112"/>
      <c r="AJ47" s="277"/>
      <c r="AN47" s="670"/>
      <c r="AO47" s="670"/>
      <c r="AP47" s="670"/>
      <c r="AQ47" s="670"/>
    </row>
    <row r="48" spans="1:58" s="157" customFormat="1" ht="14.85" hidden="1" customHeight="1">
      <c r="A48" s="140"/>
      <c r="B48" s="157" t="str">
        <v>BRW kašmír - maximálna odporúčaná dĺžka profilu 2500 mm</v>
      </c>
      <c r="T48" s="157" t="e">
        <f>VLOOKUP(AD42,kombinace_3!ER1:ES120,2,0)</f>
        <v>#N/A</v>
      </c>
      <c r="AS48"/>
      <c r="AT48"/>
    </row>
    <row r="49" spans="1:46" s="157" customFormat="1" ht="14.85" hidden="1" customHeight="1">
      <c r="A49" s="140"/>
      <c r="B49" s="157" t="str">
        <v>BRW zlatá - maximálna odporúčaná dĺžka profilu 2500 mm</v>
      </c>
      <c r="AS49"/>
      <c r="AT49"/>
    </row>
    <row r="50" spans="1:46" s="157" customFormat="1" ht="14.85" hidden="1" customHeight="1">
      <c r="A50" s="140"/>
      <c r="B50" s="157" t="str">
        <v>BRW zlatá brúsená - maximálna odporúčaná dĺžka profilu 2500 mm</v>
      </c>
      <c r="AS50"/>
      <c r="AT50"/>
    </row>
    <row r="51" spans="1:46" s="157" customFormat="1" ht="14.85" hidden="1" customHeight="1">
      <c r="A51" s="140"/>
      <c r="B51" s="157" t="str">
        <v>Corleone (elox.) - maximálna odporúčaná dĺžka profilu 1500 mm</v>
      </c>
      <c r="AS51"/>
      <c r="AT51"/>
    </row>
    <row r="52" spans="1:46" s="157" customFormat="1" ht="14.85" hidden="1" customHeight="1">
      <c r="A52" s="140"/>
      <c r="B52" s="157" t="str">
        <v>Corleone čierne mat - maximálna odporúčaná dĺžka profilu 1500 mm</v>
      </c>
      <c r="AS52"/>
      <c r="AT52"/>
    </row>
    <row r="53" spans="1:46" s="157" customFormat="1" ht="14.85" hidden="1" customHeight="1">
      <c r="A53" s="140"/>
      <c r="B53" s="157" t="str">
        <v>ASTI čierna mat - maximálna odporúčaná dĺžka profilu 2150</v>
      </c>
      <c r="AS53"/>
      <c r="AT53"/>
    </row>
    <row r="54" spans="1:46" s="157" customFormat="1" ht="14.85" hidden="1" customHeight="1">
      <c r="A54" s="140"/>
      <c r="B54" s="157" t="str">
        <v>ASTI antracit RAL 7021 mat - maximálna odporúčaná dĺžka profilu 2500 mm</v>
      </c>
      <c r="K54" s="157" t="str">
        <f t="array" ref="K54:K58">IF(OR($H$15=kombinace_3!AB40,$H$15=kombinace_3!AB7,$H$15=kombinace_3!AB15,$H$15=kombinace_3!AB20,$H$15=kombinace_3!AB21,$H$15=kombinace_3!AB22),'Translate&amp;Prices&amp;Logo'!$B$229:$B$231,IF($H$15=kombinace_3!AB41,'Translate&amp;Prices&amp;Logo'!$B$229:$B$231,'Translate&amp;Prices&amp;Logo'!$B$233:$B$237))</f>
        <v>Úzky ALU rámček</v>
      </c>
      <c r="T54" s="157" t="str">
        <f t="array" ref="T54:T56">kombinace_3!$EN$3:$EN$5</f>
        <v>Bez úprav</v>
      </c>
      <c r="U54" s="157">
        <v>1</v>
      </c>
      <c r="X54" s="157" t="str">
        <f t="array" ref="X54:X56">kombinace_3!$X$3:$X$5</f>
        <v>transparentné</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maximálna odporúčaná dĺžka profilu 2500 mm</v>
      </c>
      <c r="K55" s="157" t="str">
        <v>Široký ALU rámček</v>
      </c>
      <c r="T55" s="157" t="str">
        <v>Kalené (termín dodania 4 týždne)</v>
      </c>
      <c r="U55" s="157">
        <v>2</v>
      </c>
      <c r="X55" s="157" t="str">
        <v>biela</v>
      </c>
      <c r="AS55"/>
      <c r="AT55"/>
    </row>
    <row r="56" spans="1:46" s="157" customFormat="1" ht="14.85" hidden="1" customHeight="1">
      <c r="A56" s="140"/>
      <c r="B56" s="157" t="str">
        <v>Imola čierna mat - maximálna odporúčaná dĺžka profilu 2500 mm</v>
      </c>
      <c r="K56" s="157" t="str">
        <v>MDF hrúbky 16 mm</v>
      </c>
      <c r="T56" s="157" t="str">
        <v>Folie</v>
      </c>
      <c r="U56" s="157">
        <v>3</v>
      </c>
      <c r="X56" s="157" t="str">
        <v>čierna</v>
      </c>
    </row>
    <row r="57" spans="1:46" s="157" customFormat="1" ht="14.85" hidden="1" customHeight="1">
      <c r="A57" s="140"/>
      <c r="B57" s="157" t="str">
        <v>Imola biela matt RAL 9003 - maximálna odporúčaná dĺžka profilu 2500 mm</v>
      </c>
      <c r="K57" s="157" t="str">
        <v>MDF hrúbky 18 mm</v>
      </c>
    </row>
    <row r="58" spans="1:46" s="157" customFormat="1" ht="14.85" hidden="1" customHeight="1">
      <c r="A58" s="140"/>
      <c r="B58" s="157" t="str">
        <v>Imola zlatá - maximálna odporúčaná dĺžka profilu 2150 mm</v>
      </c>
      <c r="K58" s="157" t="str">
        <v>DTDL hrúbky 18 mm</v>
      </c>
    </row>
    <row r="59" spans="1:46" s="157" customFormat="1" ht="14.85" hidden="1" customHeight="1">
      <c r="A59" s="140"/>
      <c r="B59" s="157" t="str">
        <v>Modena (elox.) - maximálna odporúčaná dĺžka profilu 2500 mm</v>
      </c>
      <c r="T59" s="157">
        <f>IFERROR(VLOOKUP($H$21,$T$54:$U$56,2,0),0)</f>
        <v>0</v>
      </c>
    </row>
    <row r="60" spans="1:46" s="157" customFormat="1" ht="14.85" hidden="1" customHeight="1">
      <c r="A60" s="140"/>
      <c r="B60" s="157" t="str">
        <v>Modena čierna matt - maximálna odporúčaná dĺžka profilu 2500 mm</v>
      </c>
      <c r="K60" s="157" t="b">
        <f>K56=K61</f>
        <v>0</v>
      </c>
    </row>
    <row r="61" spans="1:46" s="157" customFormat="1" ht="14.85" hidden="1" customHeight="1">
      <c r="A61" s="140"/>
      <c r="B61" s="157" t="str">
        <v>Modena čierna brúsená - maximálna odporúčaná dĺžka profilu 2500 mm</v>
      </c>
      <c r="H61" s="157" t="str">
        <f>'Translate&amp;Prices&amp;Logo'!$B$186</f>
        <v>Spodné dvierko</v>
      </c>
      <c r="K61" s="157" t="str">
        <f>'Translate&amp;Prices&amp;Logo'!$B$231</f>
        <v>2 Kusy (obe strany)</v>
      </c>
    </row>
    <row r="62" spans="1:46" s="157" customFormat="1" ht="14.85" hidden="1" customHeight="1">
      <c r="A62" s="140"/>
      <c r="B62" s="157" t="str">
        <v>Modena tmavá nerez brúsená LIJA - maximálna odporúčaná dĺžka profilu 2500 mm</v>
      </c>
    </row>
    <row r="63" spans="1:46" s="157" customFormat="1" ht="14.85" hidden="1" customHeight="1">
      <c r="A63" s="140"/>
      <c r="B63" s="157" t="str">
        <v>Modena hnědá - maximálna odporúčaná dĺžka profilu 2500 mm</v>
      </c>
    </row>
    <row r="64" spans="1:46" s="157" customFormat="1" ht="14.85" hidden="1" customHeight="1">
      <c r="A64" s="140"/>
      <c r="B64" s="157" t="str">
        <v>Pisa (elox.) - maximálna odporúčaná dĺžka profilu 2500 mm</v>
      </c>
    </row>
    <row r="65" spans="1:15" s="157" customFormat="1" ht="14.85" hidden="1" customHeight="1">
      <c r="A65" s="140"/>
      <c r="B65" s="157" t="str">
        <v>Pisa biela mat RAL 9003 - maximálna odporúčaná dĺžka profilu 2500 mm</v>
      </c>
      <c r="H65" s="33" t="str">
        <f>'rozpad závěsů bez prázdn. řádků'!$K$1</f>
        <v>krížová skrutka</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výklopu'!$BQ$2,$J$65:$J$71,'Translate&amp;Prices&amp;Logo'!$B$185:$B$186)))</f>
        <v>Horné dvierko</v>
      </c>
    </row>
    <row r="66" spans="1:15" s="157" customFormat="1" ht="14.85" hidden="1" customHeight="1">
      <c r="A66" s="140"/>
      <c r="B66" s="157" t="str">
        <v>Pisa biela lesk RAL 9003 - maximálna odporúčaná dĺžka profilu 2500 mm</v>
      </c>
      <c r="H66" s="33" t="str">
        <f>'rozpad závěsů bez prázdn. řádků'!$M$1</f>
        <v>na vrut (s excentrom)</v>
      </c>
      <c r="I66" s="159">
        <v>8</v>
      </c>
      <c r="J66" s="32" t="e">
        <f>VLOOKUP($H$15,'rozpad závěsů bez prázdn. řádků'!$G$2:$X$66,I66,0)</f>
        <v>#N/A</v>
      </c>
      <c r="O66" s="157" t="str">
        <v>Spodné dvierko</v>
      </c>
    </row>
    <row r="67" spans="1:15" s="157" customFormat="1" ht="14.85" hidden="1" customHeight="1">
      <c r="A67" s="140"/>
      <c r="B67" s="157" t="str">
        <v>Pisa čierna matt - maximálna odporúčaná dĺžka profilu 2500 mm</v>
      </c>
      <c r="H67" s="33" t="str">
        <f>'rozpad závěsů bez prázdn. řádků'!$O$1</f>
        <v>euroskrut</v>
      </c>
      <c r="I67" s="159">
        <v>10</v>
      </c>
      <c r="J67" s="32" t="e">
        <f>VLOOKUP($H$15,'rozpad závěsů bez prázdn. řádků'!$G$2:$X$66,I67,0)</f>
        <v>#N/A</v>
      </c>
    </row>
    <row r="68" spans="1:15" s="157" customFormat="1" ht="14.85" hidden="1" customHeight="1">
      <c r="A68" s="140"/>
      <c r="B68" s="157" t="str">
        <v>Pisa zlatá - maximálna odporúčaná dĺžka profilu 2150 mm</v>
      </c>
      <c r="H68" s="33" t="str">
        <f>'rozpad závěsů bez prázdn. řádků'!$Q$1</f>
        <v>křížová expando</v>
      </c>
      <c r="I68" s="159">
        <v>12</v>
      </c>
      <c r="J68" s="32" t="e">
        <f>VLOOKUP($H$15,'rozpad závěsů bez prázdn. řádků'!$G$2:$X$66,I68,0)</f>
        <v>#N/A</v>
      </c>
    </row>
    <row r="69" spans="1:15" s="157" customFormat="1" ht="14.85" hidden="1" customHeight="1">
      <c r="A69" s="140"/>
      <c r="B69" s="157" t="str">
        <v>Rocca (elox.) - maximálna odporúčaná dĺžka profilu 2150 mm</v>
      </c>
      <c r="H69" s="33" t="str">
        <f>'rozpad závěsů bez prázdn. řádků'!$S$1</f>
        <v>priama Skrut</v>
      </c>
      <c r="I69" s="159">
        <v>14</v>
      </c>
      <c r="J69" s="32" t="e">
        <f>VLOOKUP($H$15,'rozpad závěsů bez prázdn. řádků'!$G$2:$X$66,I69,0)</f>
        <v>#N/A</v>
      </c>
    </row>
    <row r="70" spans="1:15" s="157" customFormat="1" ht="14.85" hidden="1" customHeight="1">
      <c r="A70" s="140"/>
      <c r="B70" s="157" t="str">
        <v>Rocca čierna mat - maximálna odporúčaná dĺžka profilu 2150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Treviso čierna matt - maximálna odporúčaná dĺžka profilu 2750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Verona (elox.) - maximálna odporúčaná dĺžka profilu 2500 mm</v>
      </c>
    </row>
    <row r="73" spans="1:15" s="157" customFormat="1" ht="14.85" hidden="1" customHeight="1">
      <c r="A73" s="140"/>
      <c r="B73" s="157" t="str">
        <v>Verona brúsená - maximálna odporúčaná dĺžka profilu 2500 mm</v>
      </c>
    </row>
    <row r="74" spans="1:15" s="157" customFormat="1" ht="14.85" hidden="1" customHeight="1">
      <c r="A74" s="140"/>
      <c r="B74" s="157" t="str">
        <v>Verona čierna mat - maximálna odporúčaná dĺžka profilu 2500 mm</v>
      </c>
    </row>
    <row r="75" spans="1:15" s="157" customFormat="1" ht="14.85" hidden="1" customHeight="1">
      <c r="A75" s="140"/>
      <c r="B75" s="157" t="str">
        <v>Verona čierna lesk - maximálna odporúčaná dĺžka profilu 2500 mm</v>
      </c>
    </row>
    <row r="76" spans="1:15" s="157" customFormat="1" ht="14.85" hidden="1" customHeight="1">
      <c r="A76" s="140"/>
      <c r="B76" s="157" t="str">
        <v>Verona hnědá - maximálna odporúčaná dĺžka profilu 2500 mm</v>
      </c>
    </row>
    <row r="77" spans="1:15" s="157" customFormat="1" ht="14.85" hidden="1" customHeight="1">
      <c r="A77" s="140"/>
      <c r="B77" s="157" t="str">
        <v>Verona champagne - maximálna odporúčaná dĺžka profilu 2500 mm</v>
      </c>
    </row>
    <row r="78" spans="1:15" s="157" customFormat="1" ht="14.85" hidden="1" customHeight="1">
      <c r="A78" s="140"/>
      <c r="B78" s="157" t="str">
        <v>Verona nerez brúsená - maximálna odporúčaná dĺžka profilu 2500 mm</v>
      </c>
    </row>
    <row r="79" spans="1:15" s="157" customFormat="1" ht="14.85" hidden="1" customHeight="1">
      <c r="A79" s="140"/>
      <c r="B79" s="157" t="str">
        <v>Verona svetlá nerez brúsená Acier - maximálna odporúčaná dĺžka profilu 2500 mm</v>
      </c>
    </row>
    <row r="80" spans="1:15" s="157" customFormat="1" ht="14.85" hidden="1" customHeight="1">
      <c r="A80" s="140"/>
      <c r="B80" s="157" t="str">
        <v>Verona Ivory mat - maximálna odporúčaná dĺžka profilu 2150 mm</v>
      </c>
    </row>
    <row r="81" spans="1:38" s="157" customFormat="1" ht="14.85" hidden="1" customHeight="1">
      <c r="A81" s="140"/>
      <c r="B81" s="157" t="str">
        <v>Verona kašmír - maximálna odporúčaná dĺžka profilu 2150 mm</v>
      </c>
    </row>
    <row r="82" spans="1:38" s="157" customFormat="1" ht="14.85" hidden="1" customHeight="1">
      <c r="A82" s="140"/>
      <c r="B82" s="157" t="str">
        <v>Verona zlatá - maximálna odporúčaná dĺžka profilu 2150 mm</v>
      </c>
      <c r="P82" s="157" t="str" cm="1">
        <f t="array" ref="P82:P85">IF(OR(H8=kombinace_3!F18,H8=kombinace_3!F19,H8=kombinace_3!A60,H8=kombinace_3!A61,H8=kombinace_3!A62,H8=kombinace_3!A63),_2_strany,IF(H15=kombinace_3!AB8,_ramena_HL,_4_strany))</f>
        <v>Navrchu</v>
      </c>
    </row>
    <row r="83" spans="1:38" ht="14.85" hidden="1" customHeight="1">
      <c r="B83" s="138" t="str">
        <v>Verona zlatá brúsená - maximálna odporúčaná dĺžka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Vivaro (elox.) - maximálna odporúčaná dĺžka profilu 2500 mm</v>
      </c>
      <c r="C84" s="140"/>
      <c r="D84" s="140"/>
      <c r="E84" s="140"/>
      <c r="F84" s="140"/>
      <c r="G84" s="140"/>
      <c r="H84" s="140"/>
      <c r="I84" s="140"/>
      <c r="J84" s="140"/>
      <c r="K84" s="140"/>
      <c r="L84" s="140"/>
      <c r="M84" s="140"/>
      <c r="N84" s="140"/>
      <c r="O84" s="138"/>
      <c r="P84" s="140" t="str">
        <v>Vpravo</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Vivaro čierne mat - maximálna odporúčaná dĺžka profilu 2500 mm</v>
      </c>
      <c r="C85" s="140"/>
      <c r="D85" s="140"/>
      <c r="E85" s="140"/>
      <c r="F85" s="140"/>
      <c r="G85" s="140"/>
      <c r="H85" s="140"/>
      <c r="I85" s="140"/>
      <c r="J85" s="140"/>
      <c r="K85" s="140"/>
      <c r="L85" s="140"/>
      <c r="M85" s="140"/>
      <c r="N85" s="140"/>
      <c r="O85" s="140"/>
      <c r="P85" s="140" t="str">
        <v>Vľavo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Vivaro tmavá nerez br. (inox lija) - maximálna odporúčaná dĺžka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Vivaro biela matt RAL 9003 - maximálna odporúčaná dĺžka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Vivaro biela lesk RAL 9003 - maximálna odporúčaná dĺžka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zlatá - maximálna odporúčaná dĺžka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zlatá brúsená - maximálna odporúčaná dĺžka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Rocca elox (Vľavo a vpravo) + Varna elox (Hore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Rocca čierna (Vľavo a vpravo) + Varna čierna (Hore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ROMA čierna mat - maximálna odporúčaná dĺžka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ROMA champagne mat - maximálna odporúčaná dĺžka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ROMA GRIP čierna mat - maximálna odporúčaná dĺžka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ROMA GRIP champagne mat - maximálna odporúčaná dĺžka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mSnLL0z3pqAfdGIij5rf8/FkR78gVTYLGBF9yzEqs/Em/tTQEZRG+qyrtKk4pLiJrxdwS2wlj7uONAWGKFlZBQ==" saltValue="EydVTRsW+6+Dn3+WLYHjg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5" priority="24" operator="equal">
      <formula>$A$2</formula>
    </cfRule>
  </conditionalFormatting>
  <conditionalFormatting sqref="B16:I16">
    <cfRule type="expression" dxfId="364" priority="45">
      <formula>$AU$19=0</formula>
    </cfRule>
  </conditionalFormatting>
  <conditionalFormatting sqref="B9:Q9">
    <cfRule type="expression" dxfId="363" priority="30">
      <formula>$B$9=0</formula>
    </cfRule>
  </conditionalFormatting>
  <conditionalFormatting sqref="B11:Q11">
    <cfRule type="expression" dxfId="362" priority="44">
      <formula>$AU$10=0</formula>
    </cfRule>
  </conditionalFormatting>
  <conditionalFormatting sqref="B14:Q14">
    <cfRule type="expression" dxfId="361" priority="29">
      <formula>$B$14=0</formula>
    </cfRule>
  </conditionalFormatting>
  <conditionalFormatting sqref="B17:Q17">
    <cfRule type="expression" dxfId="360" priority="28">
      <formula>$B$17=0</formula>
    </cfRule>
  </conditionalFormatting>
  <conditionalFormatting sqref="B18:Q18">
    <cfRule type="expression" dxfId="359" priority="14" stopIfTrue="1">
      <formula>$B$18=0</formula>
    </cfRule>
    <cfRule type="expression" dxfId="358" priority="17">
      <formula>$F$16=$H$61</formula>
    </cfRule>
  </conditionalFormatting>
  <conditionalFormatting sqref="B19:Q19">
    <cfRule type="expression" dxfId="357" priority="27">
      <formula>$B$19=0</formula>
    </cfRule>
  </conditionalFormatting>
  <conditionalFormatting sqref="B20:Q20">
    <cfRule type="expression" dxfId="356" priority="25">
      <formula>$B$20=0</formula>
    </cfRule>
    <cfRule type="expression" dxfId="355" priority="26">
      <formula>$B$19=0</formula>
    </cfRule>
  </conditionalFormatting>
  <conditionalFormatting sqref="B21:Q21">
    <cfRule type="expression" dxfId="354" priority="6">
      <formula>$B$21=" "</formula>
    </cfRule>
  </conditionalFormatting>
  <conditionalFormatting sqref="B24:Q24">
    <cfRule type="expression" dxfId="353" priority="19" stopIfTrue="1">
      <formula>$T$59&lt;3</formula>
    </cfRule>
  </conditionalFormatting>
  <conditionalFormatting sqref="H23">
    <cfRule type="expression" dxfId="352" priority="31">
      <formula>$H$25&gt;0</formula>
    </cfRule>
  </conditionalFormatting>
  <conditionalFormatting sqref="H10:L11">
    <cfRule type="expression" dxfId="351" priority="23">
      <formula>$AU$10=2</formula>
    </cfRule>
  </conditionalFormatting>
  <conditionalFormatting sqref="H10:Q10">
    <cfRule type="expression" dxfId="350" priority="22">
      <formula>$AU$10=0</formula>
    </cfRule>
  </conditionalFormatting>
  <conditionalFormatting sqref="H22:Q22 B22:G23">
    <cfRule type="expression" dxfId="349" priority="20">
      <formula>$AS$33=1</formula>
    </cfRule>
  </conditionalFormatting>
  <conditionalFormatting sqref="J16:M16">
    <cfRule type="expression" dxfId="348" priority="16" stopIfTrue="1">
      <formula>$K$60=TRUE</formula>
    </cfRule>
  </conditionalFormatting>
  <conditionalFormatting sqref="J16:N16">
    <cfRule type="expression" dxfId="347" priority="18" stopIfTrue="1">
      <formula>$AV$19=0</formula>
    </cfRule>
  </conditionalFormatting>
  <conditionalFormatting sqref="M10:Q11">
    <cfRule type="expression" dxfId="346" priority="21">
      <formula>$AU$10=1</formula>
    </cfRule>
  </conditionalFormatting>
  <conditionalFormatting sqref="N16:Q16">
    <cfRule type="expression" dxfId="345" priority="15" stopIfTrue="1">
      <formula>$K$60=TRUE</formula>
    </cfRule>
  </conditionalFormatting>
  <conditionalFormatting sqref="P29:Q29">
    <cfRule type="expression" dxfId="344" priority="1">
      <formula>$U$41=2</formula>
    </cfRule>
  </conditionalFormatting>
  <conditionalFormatting sqref="AA9:AA10 AA24:AA25">
    <cfRule type="expression" dxfId="343" priority="10" stopIfTrue="1">
      <formula>$AU$17=1</formula>
    </cfRule>
  </conditionalFormatting>
  <conditionalFormatting sqref="AA16:AA17">
    <cfRule type="expression" dxfId="342" priority="5" stopIfTrue="1">
      <formula>$AU$24="1_3"</formula>
    </cfRule>
  </conditionalFormatting>
  <conditionalFormatting sqref="AB6 AA6:AA7 AA27 AA28:AB28">
    <cfRule type="expression" dxfId="341" priority="4" stopIfTrue="1">
      <formula>$AV$17=1</formula>
    </cfRule>
  </conditionalFormatting>
  <conditionalFormatting sqref="AB29:AO29">
    <cfRule type="cellIs" dxfId="340" priority="2" operator="equal">
      <formula>0</formula>
    </cfRule>
  </conditionalFormatting>
  <conditionalFormatting sqref="AC6:AD6 AM6:AN6">
    <cfRule type="expression" dxfId="339" priority="12" stopIfTrue="1">
      <formula>$AU$17=3</formula>
    </cfRule>
  </conditionalFormatting>
  <conditionalFormatting sqref="AC25:AD25 AJ26:AJ27">
    <cfRule type="expression" dxfId="338" priority="39">
      <formula>$AU$25=4</formula>
    </cfRule>
  </conditionalFormatting>
  <conditionalFormatting sqref="AC28:AD28 AM28:AN28">
    <cfRule type="expression" dxfId="337" priority="11" stopIfTrue="1">
      <formula>$AU$17=4</formula>
    </cfRule>
  </conditionalFormatting>
  <conditionalFormatting sqref="AC8:AG8">
    <cfRule type="expression" dxfId="336" priority="43">
      <formula>$AU$25=3</formula>
    </cfRule>
  </conditionalFormatting>
  <conditionalFormatting sqref="AC24:AG24">
    <cfRule type="expression" dxfId="335" priority="40">
      <formula>$AU$25=4</formula>
    </cfRule>
  </conditionalFormatting>
  <conditionalFormatting sqref="AD10:AD12 AB19:AC19">
    <cfRule type="expression" dxfId="334" priority="33">
      <formula>$AU$25=1</formula>
    </cfRule>
  </conditionalFormatting>
  <conditionalFormatting sqref="AD14:AD21">
    <cfRule type="expression" dxfId="333" priority="32">
      <formula>$AU$25=1</formula>
    </cfRule>
  </conditionalFormatting>
  <conditionalFormatting sqref="AE10:AE16">
    <cfRule type="expression" dxfId="332" priority="41">
      <formula>$AU$25=1</formula>
    </cfRule>
  </conditionalFormatting>
  <conditionalFormatting sqref="AF9:AK9">
    <cfRule type="expression" dxfId="331" priority="36">
      <formula>$AU$25=3</formula>
    </cfRule>
  </conditionalFormatting>
  <conditionalFormatting sqref="AF25:AK25">
    <cfRule type="expression" dxfId="330" priority="38">
      <formula>$AU$25=4</formula>
    </cfRule>
  </conditionalFormatting>
  <conditionalFormatting sqref="AG6:AH6">
    <cfRule type="expression" dxfId="329" priority="8" stopIfTrue="1">
      <formula>$AU$24="3_3"</formula>
    </cfRule>
  </conditionalFormatting>
  <conditionalFormatting sqref="AG28:AH28">
    <cfRule type="expression" dxfId="328" priority="7" stopIfTrue="1">
      <formula>$AU$24="4_3"</formula>
    </cfRule>
  </conditionalFormatting>
  <conditionalFormatting sqref="AJ7:AJ8 AC9:AD9">
    <cfRule type="expression" dxfId="327" priority="37">
      <formula>$AU$25=3</formula>
    </cfRule>
  </conditionalFormatting>
  <conditionalFormatting sqref="AL19:AL25">
    <cfRule type="expression" dxfId="326" priority="42">
      <formula>$AU$25=2</formula>
    </cfRule>
  </conditionalFormatting>
  <conditionalFormatting sqref="AM14:AM21">
    <cfRule type="expression" dxfId="325" priority="34">
      <formula>$AU$25=2</formula>
    </cfRule>
  </conditionalFormatting>
  <conditionalFormatting sqref="AN19:AO19 AM23:AM25">
    <cfRule type="expression" dxfId="324" priority="35">
      <formula>$AU$25=2</formula>
    </cfRule>
  </conditionalFormatting>
  <conditionalFormatting sqref="AO6 AP6:AP7 AP27 AO28:AP28">
    <cfRule type="expression" dxfId="323" priority="3" stopIfTrue="1">
      <formula>$AV$17=2</formula>
    </cfRule>
  </conditionalFormatting>
  <conditionalFormatting sqref="AP9:AP10 AP24:AP25">
    <cfRule type="expression" dxfId="322" priority="9" stopIfTrue="1">
      <formula>$AU$17=2</formula>
    </cfRule>
  </conditionalFormatting>
  <conditionalFormatting sqref="AP16:AP17">
    <cfRule type="expression" dxfId="321"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$AD$54:$AD$96</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B36:B96</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'Translate&amp;Prices&amp;Logo'!B553</f>
        <v>Naložený</v>
      </c>
      <c r="DP2" t="str">
        <f>'Translate&amp;Prices&amp;Logo'!$B$551</f>
        <v>Závesy</v>
      </c>
      <c r="DQ2">
        <v>2</v>
      </c>
      <c r="ED2" t="s">
        <v>1649</v>
      </c>
      <c r="EE2" t="s">
        <v>3242</v>
      </c>
      <c r="ER2" t="s">
        <v>2157</v>
      </c>
      <c r="ES2" t="s">
        <v>2162</v>
      </c>
      <c r="EV2">
        <v>2</v>
      </c>
      <c r="EW2" t="s">
        <v>2179</v>
      </c>
      <c r="EY2" s="213" t="str">
        <f>'Translate&amp;Prices&amp;Logo'!B164</f>
        <v>sieťka alu zlatá - rozmer oka 10x6x1 mm</v>
      </c>
      <c r="FA2" s="34" t="str">
        <f>'Translate&amp;Prices&amp;Logo'!B644</f>
        <v>520405 SALICE AIR SOFT niklový závěs s úhlem otevírání 92° sada 2ks</v>
      </c>
      <c r="FC2" t="b">
        <v>0</v>
      </c>
    </row>
    <row r="3" spans="1:159">
      <c r="A3" t="str">
        <f>'Translate&amp;Prices&amp;Logo'!$B$6</f>
        <v>BRW (elox.) - maximálna odporúčaná odporúčaná dĺžka profilu 2500 mm</v>
      </c>
      <c r="B3">
        <v>1</v>
      </c>
      <c r="C3" t="s">
        <v>651</v>
      </c>
      <c r="D3">
        <v>1</v>
      </c>
      <c r="F3" t="s">
        <v>950</v>
      </c>
      <c r="G3" t="s">
        <v>382</v>
      </c>
      <c r="H3" t="s">
        <v>951</v>
      </c>
      <c r="I3">
        <v>1</v>
      </c>
      <c r="J3">
        <v>2</v>
      </c>
      <c r="K3" t="s">
        <v>651</v>
      </c>
      <c r="M3" t="s">
        <v>952</v>
      </c>
      <c r="N3" t="s">
        <v>554</v>
      </c>
      <c r="X3" t="str">
        <f>'Translate&amp;Prices&amp;Logo'!$B$563</f>
        <v>transparentné</v>
      </c>
      <c r="Y3">
        <v>1</v>
      </c>
      <c r="AA3" t="s">
        <v>2083</v>
      </c>
      <c r="AB3" t="s">
        <v>1009</v>
      </c>
      <c r="AF3" t="s">
        <v>105</v>
      </c>
      <c r="AG3" t="s">
        <v>2377</v>
      </c>
      <c r="AY3" t="s">
        <v>984</v>
      </c>
      <c r="BK3" t="s">
        <v>105</v>
      </c>
      <c r="BU3" t="e">
        <f>VLOOKUP(BU2,BV2:BW9,2,0)</f>
        <v>#N/A</v>
      </c>
      <c r="BV3" t="s">
        <v>1015</v>
      </c>
      <c r="BW3" t="s">
        <v>1012</v>
      </c>
      <c r="BY3" t="str">
        <f>'Translate&amp;Prices&amp;Logo'!$B$230</f>
        <v>Vľavo</v>
      </c>
      <c r="BZ3">
        <v>1</v>
      </c>
      <c r="CA3">
        <v>32</v>
      </c>
      <c r="CD3" t="s">
        <v>2374</v>
      </c>
      <c r="CE3">
        <v>1</v>
      </c>
      <c r="CF3">
        <v>1</v>
      </c>
      <c r="DN3" t="e">
        <f>IF(OR(Ram_3!$H$13&amp;Ram_3!$AU$7=Ram_3!$M$44,
Ram_3!$H$13&amp;Ram_3!$AU$7=Ram_3!$M$45,
Ram_3!$H$13&amp;Ram_3!$AU$7=Ram_3!$M$46,
Ram_3!$H$13&amp;Ram_3!$AU$7=Ram_3!$M$47),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sieťka ocel čierna mat - rozmer oka 8x4x1 mm</v>
      </c>
      <c r="FA3" s="34" t="str">
        <f>'Translate&amp;Prices&amp;Logo'!B645</f>
        <v>520406 SALICE AIR PUSH TO OPEN niklový závěs s adaptérem sada 2ks</v>
      </c>
    </row>
    <row r="4" spans="1:159">
      <c r="A4" t="str">
        <f>'Translate&amp;Prices&amp;Logo'!$B$8</f>
        <v>BRW biela matt RAL 9003 - maximálna odporúčaná dĺžka profilu 2500 mm</v>
      </c>
      <c r="B4">
        <v>1</v>
      </c>
      <c r="C4" t="s">
        <v>651</v>
      </c>
      <c r="D4">
        <v>0</v>
      </c>
      <c r="G4" t="s">
        <v>951</v>
      </c>
      <c r="H4" t="s">
        <v>382</v>
      </c>
      <c r="I4">
        <v>0</v>
      </c>
      <c r="J4">
        <v>2</v>
      </c>
      <c r="K4" t="s">
        <v>651</v>
      </c>
      <c r="M4" t="s">
        <v>955</v>
      </c>
      <c r="N4" t="s">
        <v>856</v>
      </c>
      <c r="X4" t="str">
        <f>'Translate&amp;Prices&amp;Logo'!$B$564</f>
        <v>biela</v>
      </c>
      <c r="Y4">
        <v>2</v>
      </c>
      <c r="AA4" t="s">
        <v>954</v>
      </c>
      <c r="AB4" t="s">
        <v>2374</v>
      </c>
      <c r="AC4">
        <v>1</v>
      </c>
      <c r="AD4">
        <v>1</v>
      </c>
      <c r="AF4" t="s">
        <v>106</v>
      </c>
      <c r="AG4" t="s">
        <v>2377</v>
      </c>
      <c r="AY4" t="s">
        <v>984</v>
      </c>
      <c r="AZ4" t="s">
        <v>1017</v>
      </c>
      <c r="BK4" t="s">
        <v>106</v>
      </c>
      <c r="BV4" t="s">
        <v>1016</v>
      </c>
      <c r="BW4" t="s">
        <v>1011</v>
      </c>
      <c r="BY4" t="str">
        <f>'Translate&amp;Prices&amp;Logo'!$B$229</f>
        <v>Vpravo</v>
      </c>
      <c r="BZ4">
        <v>2</v>
      </c>
      <c r="CA4">
        <v>64</v>
      </c>
      <c r="CD4" t="s">
        <v>2154</v>
      </c>
      <c r="CE4">
        <v>1</v>
      </c>
      <c r="CF4">
        <v>0</v>
      </c>
      <c r="DN4" t="e">
        <f>IF(OR(Ram_3!$H$13&amp;Ram_3!$AU$7=Ram_3!$M$44,
Ram_3!$H$13&amp;Ram_3!$AU$7=Ram_3!$M$45,
Ram_3!$H$13&amp;Ram_3!$AU$7=Ram_3!$M$46,
Ram_3!$H$13&amp;Ram_3!$AU$7=Ram_3!$M$47),
'Translate&amp;Prices&amp;Logo'!B657,'Translate&amp;Prices&amp;Logo'!B555)</f>
        <v>#N/A</v>
      </c>
      <c r="ED4" t="s">
        <v>1651</v>
      </c>
      <c r="EE4" t="s">
        <v>3247</v>
      </c>
      <c r="EJ4">
        <v>2</v>
      </c>
      <c r="EK4" t="s">
        <v>114</v>
      </c>
      <c r="EN4" t="str">
        <f>'Translate&amp;Prices&amp;Logo'!B639</f>
        <v>Kalené (termín dodania 4 týždne)</v>
      </c>
      <c r="EO4">
        <v>2</v>
      </c>
      <c r="ER4" t="s">
        <v>2449</v>
      </c>
      <c r="ES4" t="s">
        <v>2450</v>
      </c>
      <c r="EV4">
        <v>4</v>
      </c>
      <c r="EW4" t="s">
        <v>2181</v>
      </c>
      <c r="EY4" s="213" t="str">
        <f>'Translate&amp;Prices&amp;Logo'!B166</f>
        <v>sieťka ocel biela - rozmer oka 8x4x1 mm</v>
      </c>
      <c r="FA4" s="34" t="str">
        <f>'Translate&amp;Prices&amp;Logo'!B646</f>
        <v>520407 SALICE AIR PUSH TO OPEN niklový závěs s adaptérem sada 2ks</v>
      </c>
    </row>
    <row r="5" spans="1:159">
      <c r="A5" t="str">
        <f>'Translate&amp;Prices&amp;Logo'!$B$9</f>
        <v>BRW biela lesk RAL 9003 - maximálna odporúčaná dĺžka profilu 2500 mm</v>
      </c>
      <c r="B5">
        <v>1</v>
      </c>
      <c r="C5" t="s">
        <v>651</v>
      </c>
      <c r="D5">
        <v>0</v>
      </c>
      <c r="F5" t="s">
        <v>957</v>
      </c>
      <c r="G5" t="s">
        <v>381</v>
      </c>
      <c r="H5" t="s">
        <v>951</v>
      </c>
      <c r="I5">
        <v>1</v>
      </c>
      <c r="J5">
        <v>2</v>
      </c>
      <c r="K5" t="s">
        <v>651</v>
      </c>
      <c r="M5" t="s">
        <v>958</v>
      </c>
      <c r="N5" t="s">
        <v>556</v>
      </c>
      <c r="X5" t="str">
        <f>'Translate&amp;Prices&amp;Logo'!$B$565</f>
        <v>čierna</v>
      </c>
      <c r="Y5">
        <v>3</v>
      </c>
      <c r="AA5" t="s">
        <v>954</v>
      </c>
      <c r="AB5" t="s">
        <v>2378</v>
      </c>
      <c r="AC5">
        <v>0</v>
      </c>
      <c r="AD5">
        <v>0</v>
      </c>
      <c r="AF5" t="s">
        <v>105</v>
      </c>
      <c r="AG5" t="s">
        <v>2379</v>
      </c>
      <c r="AY5" t="s">
        <v>984</v>
      </c>
      <c r="AZ5" t="s">
        <v>1018</v>
      </c>
      <c r="BK5" t="s">
        <v>961</v>
      </c>
      <c r="BV5" t="s">
        <v>2501</v>
      </c>
      <c r="BW5" t="s">
        <v>2502</v>
      </c>
      <c r="BY5" t="str">
        <f>'Translate&amp;Prices&amp;Logo'!$B$227</f>
        <v>Navrchu</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sieťka elox - rozmer oka 10x6x1 mm</v>
      </c>
      <c r="FA5" s="34" t="str">
        <f>'Translate&amp;Prices&amp;Logo'!B647</f>
        <v>520408 SALICE AIR SOFT niklový závěs s adaptérem sada 2ks</v>
      </c>
    </row>
    <row r="6" spans="1:159">
      <c r="A6" t="str">
        <f>'Translate&amp;Prices&amp;Logo'!$B$11</f>
        <v>BRW brúsené - maximálna odporúčaná dĺžka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čierna matt - maximálna odporúčaná dĺžka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čierna brúsená - maximálna odporúčaná dĺžka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svetlá nerez (INOX ACIER gratta)- maximálna odporúčaná dĺžka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maximálna odporúčaná dĺžka profilu 2500 mm</v>
      </c>
      <c r="B10">
        <v>1</v>
      </c>
      <c r="C10" t="s">
        <v>651</v>
      </c>
      <c r="D10">
        <v>0</v>
      </c>
      <c r="M10" t="str">
        <f>'Translate&amp;Prices&amp;Logo'!B558</f>
        <v>horizontálne (termín dodania 4 týždne)</v>
      </c>
      <c r="N10">
        <f>IF(Ram_3!$H$9=kombinace_3!M10,1,0)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maximálna odporúčaná dĺžka profilu 2500 mm</v>
      </c>
      <c r="B11">
        <v>1</v>
      </c>
      <c r="C11" t="s">
        <v>651</v>
      </c>
      <c r="D11">
        <v>0</v>
      </c>
      <c r="M11" t="str">
        <f>'Translate&amp;Prices&amp;Logo'!B559</f>
        <v>Vertikálne (termín dodania 4 týždne)</v>
      </c>
      <c r="N11">
        <f>IF(Ram_3!$H$9=kombinace_3!M11,2,0)</f>
        <v>0</v>
      </c>
      <c r="AC11">
        <v>0</v>
      </c>
      <c r="AD11">
        <v>0</v>
      </c>
      <c r="AF11" t="s">
        <v>105</v>
      </c>
      <c r="AG11" t="s">
        <v>969</v>
      </c>
      <c r="AY11" t="s">
        <v>954</v>
      </c>
      <c r="AZ11" t="s">
        <v>1023</v>
      </c>
      <c r="BQ11" s="215" t="s">
        <v>2267</v>
      </c>
      <c r="BY11">
        <v>5</v>
      </c>
      <c r="CA11">
        <v>240</v>
      </c>
      <c r="CD11" t="str">
        <f>CONCATENATE('Translate&amp;Prices&amp;Logo'!B664,"_K12")</f>
        <v>dolný_K12</v>
      </c>
      <c r="CE11">
        <v>1</v>
      </c>
      <c r="CF11">
        <v>0</v>
      </c>
      <c r="DN11" t="s">
        <v>69</v>
      </c>
      <c r="DO11" s="2" t="s">
        <v>69</v>
      </c>
      <c r="ED11" t="s">
        <v>1658</v>
      </c>
      <c r="EE11" t="s">
        <v>1752</v>
      </c>
      <c r="ER11" t="s">
        <v>2159</v>
      </c>
      <c r="ES11" t="s">
        <v>2165</v>
      </c>
    </row>
    <row r="12" spans="1:159">
      <c r="A12" t="str">
        <f>'Translate&amp;Prices&amp;Logo'!$B$70</f>
        <v>BRW champagne light - maximálna odporúčaná dĺžka profilu 2500 mm</v>
      </c>
      <c r="B12">
        <v>1</v>
      </c>
      <c r="C12" t="s">
        <v>651</v>
      </c>
      <c r="D12">
        <v>0</v>
      </c>
      <c r="M12" t="str">
        <f>'Translate&amp;Prices&amp;Logo'!B560</f>
        <v>Horizontálne aj vertikálne (termín dodania 4 týždne)</v>
      </c>
      <c r="N12">
        <f>IF(Ram_3!$H$9=kombinace_3!M12,3,0)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maximálna odporúčaná dĺžka profilu 2500 mm</v>
      </c>
      <c r="B13">
        <v>1</v>
      </c>
      <c r="C13" t="s">
        <v>651</v>
      </c>
      <c r="D13">
        <v>0</v>
      </c>
      <c r="AC13">
        <v>0</v>
      </c>
      <c r="AD13">
        <v>0</v>
      </c>
      <c r="AF13" t="s">
        <v>105</v>
      </c>
      <c r="AG13" t="s">
        <v>972</v>
      </c>
      <c r="AY13" t="s">
        <v>954</v>
      </c>
      <c r="AZ13" t="s">
        <v>1025</v>
      </c>
      <c r="BQ13" s="216"/>
      <c r="BR13" t="s">
        <v>966</v>
      </c>
      <c r="BY13" t="str">
        <f>'Translate&amp;Prices&amp;Logo'!$B$558</f>
        <v>horizontálne (termín dodania 4 týždne)</v>
      </c>
      <c r="BZ13">
        <v>1</v>
      </c>
      <c r="CA13">
        <v>288</v>
      </c>
      <c r="CD13" t="str">
        <f>CONCATENATE('Translate&amp;Prices&amp;Logo'!B664,"_kraby")</f>
        <v>dolný_kraby</v>
      </c>
      <c r="CE13">
        <v>1</v>
      </c>
      <c r="CF13">
        <v>0</v>
      </c>
      <c r="DN13" t="s">
        <v>220</v>
      </c>
      <c r="DO13" s="2" t="s">
        <v>68</v>
      </c>
      <c r="ED13" t="s">
        <v>2511</v>
      </c>
      <c r="EE13" t="s">
        <v>2510</v>
      </c>
      <c r="ER13" t="s">
        <v>2161</v>
      </c>
      <c r="ES13" t="s">
        <v>2161</v>
      </c>
    </row>
    <row r="14" spans="1:159">
      <c r="A14" t="str">
        <f>'Translate&amp;Prices&amp;Logo'!$B$16</f>
        <v>BRW tmavá nerez brúsená (INOX LIJA) - maximálna odporúčaná dĺžka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Vertikálne (termín dodania 4 týždne)</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maximálna odporúčaná dĺžka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Horizontálne aj vertikálne (termín dodania 4 týždne)</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maximálna odporúčaná dĺžka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StrongLift_horný</v>
      </c>
      <c r="CE16">
        <v>1</v>
      </c>
      <c r="CF16">
        <v>1</v>
      </c>
      <c r="DN16" t="s">
        <v>284</v>
      </c>
      <c r="DO16" s="2" t="s">
        <v>68</v>
      </c>
      <c r="ED16" t="s">
        <v>1662</v>
      </c>
      <c r="EE16" t="s">
        <v>1756</v>
      </c>
      <c r="ER16" t="s">
        <v>2450</v>
      </c>
      <c r="ES16" t="s">
        <v>2450</v>
      </c>
      <c r="FC16" s="251"/>
    </row>
    <row r="17" spans="1:159">
      <c r="A17" t="str">
        <f>'Translate&amp;Prices&amp;Logo'!$B$55</f>
        <v>BRW zlatá brúsená - maximálna odporúčaná dĺžka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StrongLift_spodný</v>
      </c>
      <c r="CE17">
        <v>1</v>
      </c>
      <c r="CF17">
        <v>1</v>
      </c>
      <c r="DN17" t="s">
        <v>1244</v>
      </c>
      <c r="DO17" s="2" t="s">
        <v>69</v>
      </c>
      <c r="ED17" t="s">
        <v>1663</v>
      </c>
      <c r="EE17" t="s">
        <v>1757</v>
      </c>
      <c r="ER17" t="s">
        <v>2452</v>
      </c>
      <c r="ES17" t="s">
        <v>2452</v>
      </c>
      <c r="FC17" s="251"/>
    </row>
    <row r="18" spans="1:159">
      <c r="A18" t="str">
        <f>'Translate&amp;Prices&amp;Logo'!$B$17</f>
        <v>Corleone (elox.) - maximálna odporúčaná dĺžka profilu 1500 mm</v>
      </c>
      <c r="B18">
        <v>2</v>
      </c>
      <c r="C18" t="s">
        <v>651</v>
      </c>
      <c r="D18">
        <v>0</v>
      </c>
      <c r="E18">
        <v>3</v>
      </c>
      <c r="F18" t="str">
        <f>'Translate&amp;Prices&amp;Logo'!$B$80</f>
        <v>Rocca elox (Vľavo a vpravo) + Varna elox (Hore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čierne mat - maximálna odporúčaná dĺžka profilu 1500 mm</v>
      </c>
      <c r="B19">
        <v>2</v>
      </c>
      <c r="C19" t="s">
        <v>651</v>
      </c>
      <c r="D19">
        <v>0</v>
      </c>
      <c r="F19" t="str">
        <f>'Translate&amp;Prices&amp;Logo'!$B$81</f>
        <v>Rocca čierna (Vľavo a vpravo) + Varna čierna (Hore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čierna mat - maximálna odporúčaná dĺžka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maximálna odporúčaná dĺžka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maximálna odporúčaná dĺžka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čierna mat - maximálna odporúčaná dĺžka profilu 2500 mm</v>
      </c>
      <c r="B23">
        <v>2</v>
      </c>
      <c r="C23" t="s">
        <v>998</v>
      </c>
      <c r="D23">
        <v>0</v>
      </c>
      <c r="AA23" t="s">
        <v>966</v>
      </c>
      <c r="AB23" t="e">
        <f>IF(Ram_3!AU7=2,"FREEspace","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biela matt RAL 9003 - maximálna odporúčaná dĺžka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maximálna odporúčaná dĺžka profilu 2150 mm</v>
      </c>
      <c r="B25">
        <v>2</v>
      </c>
      <c r="C25" t="s">
        <v>998</v>
      </c>
      <c r="D25">
        <v>0</v>
      </c>
      <c r="AF25" t="s">
        <v>105</v>
      </c>
      <c r="AG25" t="s">
        <v>980</v>
      </c>
      <c r="ED25" t="s">
        <v>1671</v>
      </c>
      <c r="EE25" t="s">
        <v>3259</v>
      </c>
      <c r="ER25" t="s">
        <v>2171</v>
      </c>
      <c r="ES25" t="s">
        <v>2171</v>
      </c>
    </row>
    <row r="26" spans="1:159">
      <c r="A26" t="str">
        <f>'Translate&amp;Prices&amp;Logo'!$B$22</f>
        <v>Modena (elox.) - maximálna odporúčaná dĺžka profilu 2500 mm</v>
      </c>
      <c r="B26">
        <v>2</v>
      </c>
      <c r="C26" t="s">
        <v>651</v>
      </c>
      <c r="D26">
        <v>0</v>
      </c>
      <c r="AF26" t="s">
        <v>106</v>
      </c>
      <c r="AG26" t="s">
        <v>980</v>
      </c>
      <c r="ED26" t="s">
        <v>1672</v>
      </c>
      <c r="EE26" t="s">
        <v>3260</v>
      </c>
      <c r="ER26" t="s">
        <v>2172</v>
      </c>
      <c r="ES26" t="s">
        <v>2172</v>
      </c>
    </row>
    <row r="27" spans="1:159">
      <c r="A27" t="str">
        <f>'Translate&amp;Prices&amp;Logo'!$B$23</f>
        <v>Modena čierna matt - maximálna odporúčaná dĺžka profilu 2500 mm</v>
      </c>
      <c r="B27">
        <v>2</v>
      </c>
      <c r="C27" t="s">
        <v>651</v>
      </c>
      <c r="D27">
        <v>0</v>
      </c>
      <c r="AF27" t="s">
        <v>105</v>
      </c>
      <c r="AG27" t="s">
        <v>981</v>
      </c>
      <c r="ED27" t="s">
        <v>1673</v>
      </c>
      <c r="EE27" t="s">
        <v>3262</v>
      </c>
      <c r="ER27" t="s">
        <v>2173</v>
      </c>
      <c r="ES27" t="s">
        <v>2173</v>
      </c>
    </row>
    <row r="28" spans="1:159">
      <c r="A28" t="str">
        <f>'Translate&amp;Prices&amp;Logo'!$B$25</f>
        <v>Modena čierna brúsená - maximálna odporúčaná dĺžka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brúsená LIJA - maximálna odporúčaná dĺžka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maximálna odporúčaná dĺžka profilu 2500 mm</v>
      </c>
      <c r="B30">
        <v>2</v>
      </c>
      <c r="C30" t="s">
        <v>651</v>
      </c>
      <c r="D30">
        <v>0</v>
      </c>
      <c r="AA30" t="s">
        <v>976</v>
      </c>
      <c r="AB30" t="str">
        <f>CONCATENATE('Translate&amp;Prices&amp;Logo'!B664,"_K12")</f>
        <v>dolný_K12</v>
      </c>
      <c r="AC30">
        <v>1</v>
      </c>
      <c r="AD30">
        <v>0</v>
      </c>
      <c r="AF30" t="s">
        <v>106</v>
      </c>
      <c r="AG30" t="s">
        <v>982</v>
      </c>
      <c r="ED30" t="s">
        <v>1676</v>
      </c>
      <c r="EE30" t="s">
        <v>3265</v>
      </c>
      <c r="ER30" t="s">
        <v>2463</v>
      </c>
      <c r="ES30" t="s">
        <v>2463</v>
      </c>
    </row>
    <row r="31" spans="1:159">
      <c r="A31" t="str">
        <f>'Translate&amp;Prices&amp;Logo'!$B$29</f>
        <v>Pisa (elox.) - maximálna odporúčaná dĺžka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biela mat RAL 9003 - maximálna odporúčaná dĺžka profilu 2500 mm</v>
      </c>
      <c r="B32">
        <v>2</v>
      </c>
      <c r="C32" t="s">
        <v>998</v>
      </c>
      <c r="D32">
        <v>0</v>
      </c>
      <c r="AA32" t="s">
        <v>976</v>
      </c>
      <c r="AB32" t="str">
        <f>CONCATENATE('Translate&amp;Prices&amp;Logo'!B664,"_kraby")</f>
        <v>dolný_kraby</v>
      </c>
      <c r="AC32">
        <v>1</v>
      </c>
      <c r="AD32">
        <v>0</v>
      </c>
      <c r="AF32" t="s">
        <v>106</v>
      </c>
      <c r="AG32" t="s">
        <v>983</v>
      </c>
      <c r="BY32" t="str">
        <f>'Translate&amp;Prices&amp;Logo'!$B$230</f>
        <v>Vľavo</v>
      </c>
      <c r="BZ32" t="str">
        <f>'Translate&amp;Prices&amp;Logo'!$B$589</f>
        <v>(Spodného)</v>
      </c>
      <c r="CA32" t="str">
        <f>'Translate&amp;Prices&amp;Logo'!$B$591</f>
        <v>(Horného)</v>
      </c>
      <c r="CC32" t="str">
        <f>'Translate&amp;Prices&amp;Logo'!$O$589</f>
        <v>(dolnej)</v>
      </c>
      <c r="CD32" t="str">
        <f>'Translate&amp;Prices&amp;Logo'!$O$591</f>
        <v>(górnej)</v>
      </c>
      <c r="ED32" t="s">
        <v>1678</v>
      </c>
      <c r="EE32" t="s">
        <v>3267</v>
      </c>
      <c r="ER32" t="s">
        <v>2465</v>
      </c>
      <c r="ES32" t="s">
        <v>2465</v>
      </c>
    </row>
    <row r="33" spans="1:149">
      <c r="A33" t="str">
        <f>'Translate&amp;Prices&amp;Logo'!$B$53</f>
        <v>Pisa biela lesk RAL 9003 - maximálna odporúčaná dĺžka profilu 2500 mm</v>
      </c>
      <c r="B33">
        <v>2</v>
      </c>
      <c r="C33" t="s">
        <v>998</v>
      </c>
      <c r="D33">
        <v>0</v>
      </c>
      <c r="AA33" t="s">
        <v>976</v>
      </c>
      <c r="AB33" t="s">
        <v>980</v>
      </c>
      <c r="AC33">
        <v>1</v>
      </c>
      <c r="AD33">
        <v>0</v>
      </c>
      <c r="AF33" t="s">
        <v>105</v>
      </c>
      <c r="AG33" t="s">
        <v>985</v>
      </c>
      <c r="BY33" t="str">
        <f>'Translate&amp;Prices&amp;Logo'!$B$229</f>
        <v>Vpravo</v>
      </c>
      <c r="BZ33" t="str">
        <f>'Translate&amp;Prices&amp;Logo'!$B$589</f>
        <v>(Spodného)</v>
      </c>
      <c r="CA33" t="str">
        <f>'Translate&amp;Prices&amp;Logo'!$B$591</f>
        <v>(Horného)</v>
      </c>
      <c r="CC33" t="str">
        <f>'Translate&amp;Prices&amp;Logo'!$O$589</f>
        <v>(dolnej)</v>
      </c>
      <c r="CD33" t="str">
        <f>'Translate&amp;Prices&amp;Logo'!$O$591</f>
        <v>(górnej)</v>
      </c>
      <c r="ED33" t="s">
        <v>1679</v>
      </c>
      <c r="EE33" t="s">
        <v>3268</v>
      </c>
      <c r="ER33" t="s">
        <v>2466</v>
      </c>
      <c r="ES33" t="s">
        <v>2466</v>
      </c>
    </row>
    <row r="34" spans="1:149">
      <c r="A34" t="str">
        <f>'Translate&amp;Prices&amp;Logo'!$B$30</f>
        <v>Pisa čierna matt - maximálna odporúčaná dĺžka profilu 2500 mm</v>
      </c>
      <c r="B34">
        <v>2</v>
      </c>
      <c r="C34" t="s">
        <v>998</v>
      </c>
      <c r="D34">
        <v>0</v>
      </c>
      <c r="AA34" t="s">
        <v>976</v>
      </c>
      <c r="AB34" t="s">
        <v>981</v>
      </c>
      <c r="AC34">
        <v>1</v>
      </c>
      <c r="AD34">
        <v>0</v>
      </c>
      <c r="AF34" t="s">
        <v>106</v>
      </c>
      <c r="AG34" t="s">
        <v>985</v>
      </c>
      <c r="BY34" t="str">
        <f>'Translate&amp;Prices&amp;Logo'!$B$227</f>
        <v>Navrchu</v>
      </c>
      <c r="BZ34" t="str">
        <f>'Translate&amp;Prices&amp;Logo'!$B$590</f>
        <v>(Ľavého)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maximálna odporúčaná dĺžka profilu 2150 mm</v>
      </c>
      <c r="B35">
        <v>2</v>
      </c>
      <c r="C35" t="s">
        <v>998</v>
      </c>
      <c r="D35">
        <v>0</v>
      </c>
      <c r="BY35" t="str">
        <f>'Translate&amp;Prices&amp;Logo'!$B$228</f>
        <v>Dole</v>
      </c>
      <c r="BZ35" t="str">
        <f>'Translate&amp;Prices&amp;Logo'!$B$590</f>
        <v>(Ľavého)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maximálna odporúčaná dĺžka profilu 2150 mm</v>
      </c>
      <c r="B36">
        <v>1</v>
      </c>
      <c r="C36" t="s">
        <v>651</v>
      </c>
      <c r="D36">
        <v>0</v>
      </c>
      <c r="ED36" t="s">
        <v>1620</v>
      </c>
      <c r="EE36" t="s">
        <v>1776</v>
      </c>
      <c r="ER36" t="s">
        <v>2176</v>
      </c>
      <c r="ES36" t="s">
        <v>2176</v>
      </c>
    </row>
    <row r="37" spans="1:149">
      <c r="A37" t="str">
        <f>'Translate&amp;Prices&amp;Logo'!$B$42</f>
        <v>Rocca čierna mat - maximálna odporúčaná dĺžka profilu 2150 mm</v>
      </c>
      <c r="B37">
        <v>1</v>
      </c>
      <c r="C37" t="s">
        <v>651</v>
      </c>
      <c r="D37">
        <v>0</v>
      </c>
      <c r="BY37" t="s">
        <v>1332</v>
      </c>
      <c r="ED37" t="s">
        <v>1621</v>
      </c>
      <c r="EE37" t="s">
        <v>1777</v>
      </c>
      <c r="ER37" t="s">
        <v>2219</v>
      </c>
      <c r="ES37" t="s">
        <v>2213</v>
      </c>
    </row>
    <row r="38" spans="1:149">
      <c r="A38" t="str">
        <f>'Translate&amp;Prices&amp;Logo'!$B$63</f>
        <v>Treviso čierna matt - maximálna odporúčaná dĺžka profilu 2750 mm</v>
      </c>
      <c r="B38">
        <v>1</v>
      </c>
      <c r="C38" t="s">
        <v>651</v>
      </c>
      <c r="D38">
        <v>0</v>
      </c>
      <c r="ED38" t="s">
        <v>1622</v>
      </c>
      <c r="EE38" t="s">
        <v>1778</v>
      </c>
      <c r="ER38" t="s">
        <v>2220</v>
      </c>
      <c r="ES38" t="s">
        <v>2214</v>
      </c>
    </row>
    <row r="39" spans="1:149">
      <c r="A39" t="str">
        <f>'Translate&amp;Prices&amp;Logo'!$B$34</f>
        <v>Verona (elox.) - maximálna odporúčaná dĺžka profilu 2500 mm</v>
      </c>
      <c r="B39">
        <v>1</v>
      </c>
      <c r="C39" t="s">
        <v>651</v>
      </c>
      <c r="D39">
        <v>0</v>
      </c>
      <c r="AA39" t="s">
        <v>2504</v>
      </c>
      <c r="AB39" t="s">
        <v>2502</v>
      </c>
      <c r="ED39" t="s">
        <v>1623</v>
      </c>
      <c r="EE39" t="s">
        <v>1779</v>
      </c>
      <c r="ER39" t="s">
        <v>2221</v>
      </c>
      <c r="ES39" t="s">
        <v>2215</v>
      </c>
    </row>
    <row r="40" spans="1:149">
      <c r="A40" t="str">
        <f>'Translate&amp;Prices&amp;Logo'!$B$35</f>
        <v>Verona brúsená - maximálna odporúčaná dĺžka profilu 2500 mm</v>
      </c>
      <c r="B40">
        <v>1</v>
      </c>
      <c r="C40" t="s">
        <v>651</v>
      </c>
      <c r="D40">
        <v>0</v>
      </c>
      <c r="AA40" t="s">
        <v>2504</v>
      </c>
      <c r="AB40" t="str">
        <f>'Translate&amp;Prices&amp;Logo'!B659</f>
        <v>StrongLift_horný</v>
      </c>
      <c r="AC40">
        <v>1</v>
      </c>
      <c r="AD40">
        <v>0</v>
      </c>
      <c r="ED40" t="s">
        <v>1624</v>
      </c>
      <c r="EE40" t="s">
        <v>1780</v>
      </c>
      <c r="ER40" t="s">
        <v>2222</v>
      </c>
      <c r="ES40" t="s">
        <v>2216</v>
      </c>
    </row>
    <row r="41" spans="1:149">
      <c r="A41" t="str">
        <f>'Translate&amp;Prices&amp;Logo'!$B$37</f>
        <v>Verona čierna mat - maximálna odporúčaná dĺžka profilu 2500 mm</v>
      </c>
      <c r="B41">
        <v>1</v>
      </c>
      <c r="C41" t="s">
        <v>651</v>
      </c>
      <c r="D41">
        <v>0</v>
      </c>
      <c r="AB41" t="str">
        <f>'Translate&amp;Prices&amp;Logo'!B660</f>
        <v>StrongLift_spodný</v>
      </c>
      <c r="AC41">
        <v>1</v>
      </c>
      <c r="AD41">
        <v>0</v>
      </c>
      <c r="ED41" t="s">
        <v>1625</v>
      </c>
      <c r="EE41" t="s">
        <v>1781</v>
      </c>
      <c r="ER41" t="s">
        <v>2223</v>
      </c>
      <c r="ES41" t="s">
        <v>2217</v>
      </c>
    </row>
    <row r="42" spans="1:149">
      <c r="A42" t="str">
        <f>'Translate&amp;Prices&amp;Logo'!$B$36</f>
        <v>Verona čierna lesk - maximálna odporúčaná dĺžka profilu 2500 mm</v>
      </c>
      <c r="B42">
        <v>1</v>
      </c>
      <c r="C42" t="s">
        <v>651</v>
      </c>
      <c r="D42">
        <v>0</v>
      </c>
      <c r="AA42" t="s">
        <v>2086</v>
      </c>
      <c r="AB42" t="s">
        <v>1010</v>
      </c>
      <c r="ED42" t="s">
        <v>1626</v>
      </c>
      <c r="EE42" t="s">
        <v>1782</v>
      </c>
      <c r="ER42" t="s">
        <v>2224</v>
      </c>
      <c r="ES42" t="s">
        <v>2218</v>
      </c>
    </row>
    <row r="43" spans="1:149">
      <c r="A43" t="str">
        <f>'Translate&amp;Prices&amp;Logo'!$B$38</f>
        <v>Verona hnědá - maximálna odporúčaná dĺžka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maximálna odporúčaná dĺžka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nerez brúsená - maximálna odporúčaná dĺžka profilu 2500 mm</v>
      </c>
      <c r="B45">
        <v>1</v>
      </c>
      <c r="C45" t="s">
        <v>651</v>
      </c>
      <c r="D45">
        <v>0</v>
      </c>
      <c r="AB45" t="s">
        <v>1111</v>
      </c>
      <c r="AC45">
        <v>0</v>
      </c>
      <c r="AD45">
        <v>0</v>
      </c>
      <c r="ED45" t="s">
        <v>1629</v>
      </c>
      <c r="EE45" t="s">
        <v>1785</v>
      </c>
      <c r="ER45" t="s">
        <v>2243</v>
      </c>
      <c r="ES45" t="s">
        <v>2237</v>
      </c>
    </row>
    <row r="46" spans="1:149">
      <c r="A46" t="str">
        <f>'Translate&amp;Prices&amp;Logo'!$B$41</f>
        <v>Verona svetlá nerez brúsená Acier - maximálna odporúčaná dĺžka profilu 2500 mm</v>
      </c>
      <c r="B46">
        <v>1</v>
      </c>
      <c r="C46" t="s">
        <v>651</v>
      </c>
      <c r="D46">
        <v>0</v>
      </c>
      <c r="ED46" t="s">
        <v>1630</v>
      </c>
      <c r="EE46" t="s">
        <v>1786</v>
      </c>
      <c r="ER46" t="s">
        <v>2244</v>
      </c>
      <c r="ES46" t="s">
        <v>2238</v>
      </c>
    </row>
    <row r="47" spans="1:149">
      <c r="A47" t="str">
        <f>'Translate&amp;Prices&amp;Logo'!$B$62</f>
        <v>Verona Ivory mat - maximálna odporúčaná dĺžka profilu 2150 mm</v>
      </c>
      <c r="B47">
        <v>1</v>
      </c>
      <c r="C47" t="s">
        <v>651</v>
      </c>
      <c r="D47">
        <v>0</v>
      </c>
      <c r="ED47" t="s">
        <v>1631</v>
      </c>
      <c r="EE47" t="s">
        <v>1787</v>
      </c>
      <c r="ER47" t="s">
        <v>2245</v>
      </c>
      <c r="ES47" t="s">
        <v>2239</v>
      </c>
    </row>
    <row r="48" spans="1:149">
      <c r="A48" t="str">
        <f>'Translate&amp;Prices&amp;Logo'!$B$65</f>
        <v>Verona kašmír - maximálna odporúčaná dĺžka profilu 2150 mm</v>
      </c>
      <c r="B48">
        <v>1</v>
      </c>
      <c r="C48" t="s">
        <v>651</v>
      </c>
      <c r="D48">
        <v>0</v>
      </c>
      <c r="ED48" t="s">
        <v>1632</v>
      </c>
      <c r="EE48" t="s">
        <v>1788</v>
      </c>
      <c r="ER48" t="s">
        <v>2246</v>
      </c>
      <c r="ES48" t="s">
        <v>2240</v>
      </c>
    </row>
    <row r="49" spans="1:149">
      <c r="A49" t="str">
        <f>'Translate&amp;Prices&amp;Logo'!$B$24</f>
        <v>Verona zlatá - maximálna odporúčaná dĺžka profilu 2150 mm</v>
      </c>
      <c r="B49">
        <v>1</v>
      </c>
      <c r="C49" t="s">
        <v>651</v>
      </c>
      <c r="D49">
        <v>0</v>
      </c>
      <c r="AA49" t="s">
        <v>2087</v>
      </c>
      <c r="AB49" t="s">
        <v>2089</v>
      </c>
      <c r="ED49" t="s">
        <v>1633</v>
      </c>
      <c r="EE49" t="s">
        <v>1789</v>
      </c>
      <c r="ER49" t="s">
        <v>2247</v>
      </c>
      <c r="ES49" t="s">
        <v>2241</v>
      </c>
    </row>
    <row r="50" spans="1:149">
      <c r="A50" t="str">
        <f>'Translate&amp;Prices&amp;Logo'!$B$56</f>
        <v>Verona zlatá brúsená - maximálna odporúčaná dĺžka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maximálna odporúčaná dĺžka profilu 2500 mm</v>
      </c>
      <c r="B51">
        <v>2</v>
      </c>
      <c r="C51" t="s">
        <v>651</v>
      </c>
      <c r="D51">
        <v>1</v>
      </c>
      <c r="AB51" t="s">
        <v>2380</v>
      </c>
      <c r="AC51">
        <v>0</v>
      </c>
      <c r="AD51">
        <v>0</v>
      </c>
      <c r="ED51" t="s">
        <v>1635</v>
      </c>
      <c r="EE51" t="s">
        <v>1791</v>
      </c>
      <c r="ER51" t="s">
        <v>2477</v>
      </c>
      <c r="ES51" t="s">
        <v>2469</v>
      </c>
    </row>
    <row r="52" spans="1:149">
      <c r="A52" t="str">
        <f>'Translate&amp;Prices&amp;Logo'!$B$44</f>
        <v>Vivaro čierne mat - maximálna odporúčaná dĺžka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maximálna odporúčaná dĺžka profilu 2500 mm</v>
      </c>
      <c r="B53">
        <v>2</v>
      </c>
      <c r="C53" t="s">
        <v>651</v>
      </c>
      <c r="D53">
        <v>0</v>
      </c>
      <c r="AB53" t="s">
        <v>2376</v>
      </c>
      <c r="AC53">
        <v>0</v>
      </c>
      <c r="AD53">
        <v>0</v>
      </c>
      <c r="ED53" t="s">
        <v>1637</v>
      </c>
      <c r="EE53" t="s">
        <v>1793</v>
      </c>
      <c r="ER53" t="s">
        <v>2479</v>
      </c>
      <c r="ES53" t="s">
        <v>2471</v>
      </c>
    </row>
    <row r="54" spans="1:149">
      <c r="A54" t="str">
        <f>'Translate&amp;Prices&amp;Logo'!$B$47</f>
        <v>Vivaro biela matt RAL 9003 - maximálna odporúčaná dĺžka profilu 2500 mm</v>
      </c>
      <c r="B54">
        <v>2</v>
      </c>
      <c r="C54" t="s">
        <v>651</v>
      </c>
      <c r="D54">
        <v>0</v>
      </c>
      <c r="ED54" t="s">
        <v>1638</v>
      </c>
      <c r="EE54" t="s">
        <v>1794</v>
      </c>
      <c r="ER54" t="s">
        <v>2480</v>
      </c>
      <c r="ES54" t="s">
        <v>2472</v>
      </c>
    </row>
    <row r="55" spans="1:149">
      <c r="A55" t="str">
        <f>'Translate&amp;Prices&amp;Logo'!$B$48</f>
        <v>Vivaro biela lesk RAL 9003 - maximálna odporúčaná dĺžka profilu 2500 mm</v>
      </c>
      <c r="B55">
        <v>2</v>
      </c>
      <c r="C55" t="s">
        <v>651</v>
      </c>
      <c r="D55">
        <v>0</v>
      </c>
      <c r="ED55" t="s">
        <v>1639</v>
      </c>
      <c r="EE55" t="s">
        <v>1795</v>
      </c>
      <c r="ER55" t="s">
        <v>2481</v>
      </c>
      <c r="ES55" t="s">
        <v>2473</v>
      </c>
    </row>
    <row r="56" spans="1:149">
      <c r="A56" t="str">
        <f>'Translate&amp;Prices&amp;Logo'!$B$31</f>
        <v>Vivaro zlatá - maximálna odporúčaná dĺžka profilu 2150 mm</v>
      </c>
      <c r="B56">
        <v>2</v>
      </c>
      <c r="C56" t="s">
        <v>651</v>
      </c>
      <c r="D56">
        <v>1</v>
      </c>
      <c r="ED56" t="s">
        <v>1640</v>
      </c>
      <c r="EE56" t="s">
        <v>1796</v>
      </c>
      <c r="ER56" t="s">
        <v>2482</v>
      </c>
      <c r="ES56" t="s">
        <v>2474</v>
      </c>
    </row>
    <row r="57" spans="1:149">
      <c r="A57" t="str">
        <f>'Translate&amp;Prices&amp;Logo'!$B$57</f>
        <v>Vivaro zlatá brúsená - maximálna odporúčaná dĺžka profilu 2150 mm</v>
      </c>
      <c r="B57">
        <v>2</v>
      </c>
      <c r="C57" t="s">
        <v>651</v>
      </c>
      <c r="D57">
        <v>0</v>
      </c>
      <c r="ED57" t="s">
        <v>1641</v>
      </c>
      <c r="EE57" t="s">
        <v>1797</v>
      </c>
      <c r="ER57" t="s">
        <v>2225</v>
      </c>
      <c r="ES57" t="s">
        <v>2213</v>
      </c>
    </row>
    <row r="58" spans="1:149">
      <c r="A58" t="str">
        <f>'Translate&amp;Prices&amp;Logo'!$B$80</f>
        <v>Rocca elox (Vľavo a vpravo) + Varna elox (Hore a dole)</v>
      </c>
      <c r="B58">
        <v>3</v>
      </c>
      <c r="C58" t="s">
        <v>651</v>
      </c>
      <c r="D58">
        <v>0</v>
      </c>
      <c r="ED58" t="s">
        <v>1642</v>
      </c>
      <c r="EE58" t="s">
        <v>1798</v>
      </c>
      <c r="ER58" t="s">
        <v>2226</v>
      </c>
      <c r="ES58" t="s">
        <v>2214</v>
      </c>
    </row>
    <row r="59" spans="1:149">
      <c r="A59" t="str">
        <f>'Translate&amp;Prices&amp;Logo'!$B$81</f>
        <v>Rocca čierna (Vľavo a vpravo) + Varna čierna (Hore a dole)</v>
      </c>
      <c r="B59">
        <v>3</v>
      </c>
      <c r="C59" t="s">
        <v>651</v>
      </c>
      <c r="D59">
        <v>0</v>
      </c>
      <c r="AA59" t="s">
        <v>2088</v>
      </c>
      <c r="AB59" t="s">
        <v>2090</v>
      </c>
      <c r="ED59" t="s">
        <v>1643</v>
      </c>
      <c r="EE59" t="s">
        <v>1799</v>
      </c>
      <c r="ER59" t="s">
        <v>2227</v>
      </c>
      <c r="ES59" t="s">
        <v>2215</v>
      </c>
    </row>
    <row r="60" spans="1:149">
      <c r="A60" t="str">
        <f>'Translate&amp;Prices&amp;Logo'!$B$71</f>
        <v>ROMA čierna mat - maximálna odporúčaná dĺžka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maximálna odporúčaná dĺžka profilu 2696 mm</v>
      </c>
      <c r="B61">
        <v>1</v>
      </c>
      <c r="C61" t="s">
        <v>651</v>
      </c>
      <c r="D61">
        <v>0</v>
      </c>
      <c r="AB61" t="s">
        <v>970</v>
      </c>
      <c r="AC61">
        <v>0</v>
      </c>
      <c r="AD61">
        <v>0</v>
      </c>
      <c r="ED61" t="s">
        <v>1645</v>
      </c>
      <c r="EE61" t="s">
        <v>1801</v>
      </c>
      <c r="ER61" t="s">
        <v>2229</v>
      </c>
      <c r="ES61" t="s">
        <v>2217</v>
      </c>
    </row>
    <row r="62" spans="1:149">
      <c r="A62" t="str">
        <f>'Translate&amp;Prices&amp;Logo'!$B$73</f>
        <v>ROMA GRIP čierna mat - maximálna odporúčaná dĺžka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maximálna odporúčaná dĺžka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maximálna odporúčaná dĺžka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"&amp;4</f>
        <v>Rámček  4</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IFERROR(IF(kombinace_4!FC2=TRUE,'Translate&amp;Prices&amp;Logo'!B654,IF(VLOOKUP(H8,kombinace_4!$A:$E,5,0)=3,'Translate&amp;Prices&amp;Logo'!B642,"")),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Rámček  1</v>
      </c>
      <c r="C5" s="634"/>
      <c r="D5" s="634"/>
      <c r="E5" s="106"/>
      <c r="F5" s="634" t="str">
        <f>'Translate&amp;Prices&amp;Logo'!$B$169&amp;" "&amp;" "&amp;2</f>
        <v>Rámček  2</v>
      </c>
      <c r="G5" s="634"/>
      <c r="H5" s="634"/>
      <c r="I5" s="9"/>
      <c r="J5" s="634" t="str">
        <f>'Translate&amp;Prices&amp;Logo'!$B$169&amp;" "&amp;" "&amp;3</f>
        <v>Rámček  3</v>
      </c>
      <c r="K5" s="634"/>
      <c r="L5" s="634"/>
      <c r="M5" s="9"/>
      <c r="N5" s="634" t="str">
        <f>'Translate&amp;Prices&amp;Logo'!$B$169&amp;" "&amp;" "&amp;4</f>
        <v>Rámček  4</v>
      </c>
      <c r="O5" s="634"/>
      <c r="P5" s="634"/>
      <c r="Q5" s="9"/>
      <c r="R5" s="634" t="str">
        <f>'Translate&amp;Prices&amp;Logo'!$B$169&amp;" "&amp;" "&amp;5</f>
        <v>Rámček  5</v>
      </c>
      <c r="S5" s="634"/>
      <c r="T5" s="634"/>
      <c r="U5" s="9"/>
      <c r="V5" s="634" t="str">
        <f>'Translate&amp;Prices&amp;Logo'!$B$169&amp;" "&amp;" "&amp;6</f>
        <v>Rámček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Kombinácia 2 profilov</v>
      </c>
      <c r="C7" s="667"/>
      <c r="D7" s="667"/>
      <c r="E7" s="667"/>
      <c r="F7" s="667"/>
      <c r="G7" s="616" t="str">
        <f>IF(kombinace_4!FC2=TRUE,AB4,"")</f>
        <v/>
      </c>
      <c r="H7" s="616"/>
      <c r="I7" s="616"/>
      <c r="J7" s="616"/>
      <c r="K7" s="616"/>
      <c r="L7" s="616"/>
      <c r="M7" s="616"/>
      <c r="N7" s="616"/>
      <c r="O7" s="616"/>
      <c r="P7" s="616"/>
      <c r="Q7" s="617"/>
      <c r="R7" s="231"/>
      <c r="S7" s="602" t="str">
        <f>'Translate&amp;Prices&amp;Logo'!$B$572</f>
        <v>Upozornenie: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VLOOKUP(H8,kombinace_4!$A3:$B100,2,0)</f>
        <v>#N/A</v>
      </c>
      <c r="AV7" s="140" t="e">
        <f>IF(AU7=2,"Široký",IF(AU7=1,"Úzký",IF(AU7=3,"kombo")))</f>
        <v>#N/A</v>
      </c>
    </row>
    <row r="8" spans="1:65" ht="45.6" customHeight="1">
      <c r="A8" s="61"/>
      <c r="B8" s="223" t="str">
        <f>'Translate&amp;Prices&amp;Logo'!$B$653</f>
        <v>Výplň rámčeka sieťka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IF(AU10&gt;0,'Translate&amp;Prices&amp;Logo'!B303,IF(H8=kombinace_4!A59,'Translate&amp;Prices&amp;Logo'!B580,0))</f>
        <v>0</v>
      </c>
      <c r="T8" s="654"/>
      <c r="U8" s="654"/>
      <c r="V8" s="654"/>
      <c r="W8" s="654"/>
      <c r="X8" s="654"/>
      <c r="Y8" s="655"/>
      <c r="Z8" s="80"/>
      <c r="AA8" s="76"/>
      <c r="AB8" s="9"/>
      <c r="AC8" s="584" t="str">
        <f>'Translate&amp;Prices&amp;Logo'!$B$242</f>
        <v>Vzdialenosť od ľavého kraja</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IFERROR(IF(AND(VLOOKUP(H8,kombinace_4!$A:$D,4,0)=1,kombinace_4!FC2=FALSE),'Translate&amp;Prices&amp;Logo'!$B$543,0),0)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IFERROR((VLOOKUP(H12,kombinace_4!$DP$2:$DQ$3,2,0)),"")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Vzdialenosť od horného okraja</v>
      </c>
      <c r="AF10" s="9"/>
      <c r="AG10" s="9"/>
      <c r="AH10" s="9"/>
      <c r="AI10" s="60"/>
      <c r="AJ10" s="61"/>
      <c r="AK10" s="9"/>
      <c r="AL10" s="9"/>
      <c r="AM10" s="9"/>
      <c r="AN10" s="9"/>
      <c r="AO10" s="9"/>
      <c r="AP10" s="77"/>
      <c r="AQ10" s="314"/>
      <c r="AR10" s="9"/>
      <c r="AS10" s="9"/>
      <c r="AT10" s="139" t="s">
        <v>1196</v>
      </c>
      <c r="AU10" s="140">
        <f>IFERROR(VLOOKUP(H9,kombinace_4!$BY$13:$BZ$15,2,0),0)</f>
        <v>0</v>
      </c>
      <c r="AV10" s="140"/>
    </row>
    <row r="11" spans="1:65" ht="18" customHeight="1">
      <c r="A11" s="61"/>
      <c r="B11" s="642" t="str">
        <f>('Translate&amp;Prices&amp;Logo'!$B$543)&amp;" "&amp;"("&amp;'Translate&amp;Prices&amp;Logo'!$B$174&amp;")"</f>
        <v>Deliace lišty (Počet kusov)</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IFERROR(IF(kombinace_4!$H$1=TRUE,BA2+AY3,0),0)</f>
        <v>0</v>
      </c>
      <c r="AU11" s="146"/>
      <c r="AV11" s="140"/>
    </row>
    <row r="12" spans="1:65" ht="18" customHeight="1">
      <c r="A12" s="61"/>
      <c r="B12" s="585" t="str">
        <f>'Translate&amp;Prices&amp;Logo'!$B$258</f>
        <v>Typ kovania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kovania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 kovania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IF(H15=kombinace_4!AB40,'Translate&amp;Prices&amp;Logo'!$B$224,IF(H15=kombinace_4!AB41,'Translate&amp;Prices&amp;Logo'!$B$224,IF(H12='závěsy dle výklopu'!BQ2,'Translate&amp;Prices&amp;Logo'!$B$222,'Translate&amp;Prices&amp;Logo'!$B$218)))</f>
        <v>Výber pozície rámčeku</v>
      </c>
      <c r="C16" s="641"/>
      <c r="D16" s="641"/>
      <c r="E16" s="641"/>
      <c r="F16" s="639"/>
      <c r="G16" s="639"/>
      <c r="H16" s="639"/>
      <c r="I16" s="639"/>
      <c r="J16" s="659" t="str">
        <f>IF(OR(H15=kombinace_4!AB40,H15=kombinace_4!AB7,H15=kombinace_4!AB15,H15=kombinace_4!AB20,H15=kombinace_4!AB21,H15=kombinace_4!AB22),'Translate&amp;Prices&amp;Logo'!$B$226,IF(H15=kombinace_4!AB41,'Translate&amp;Prices&amp;Logo'!$B$226,'Translate&amp;Prices&amp;Logo'!$B$232))</f>
        <v>Vyhotovenie druhého dvierka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IF(H12='Translate&amp;Prices&amp;Logo'!B551,'Translate&amp;Prices&amp;Logo'!B238,IF(H15=kombinace_4!AB8,'Translate&amp;Prices&amp;Logo'!B284,0))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85">
        <f>IFERROR(IF(VLOOKUP(H15,kombinace_4!CD:CE,2,0)=1,'Translate&amp;Prices&amp;Logo'!$B$547,0),0)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IFERROR(IF(H12='Translate&amp;Prices&amp;Logo'!B551,'Translate&amp;Prices&amp;Logo'!$B$223,IF(VLOOKUP(H15,kombinace_4!CD:CE,2,0)=1,'Translate&amp;Prices&amp;Logo'!$B$223,)),0)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Vzdialenosť od spodného okraja</v>
      </c>
      <c r="AM19" s="629"/>
      <c r="AN19" s="620">
        <v>0</v>
      </c>
      <c r="AO19" s="620"/>
      <c r="AP19" s="76"/>
      <c r="AQ19" s="314"/>
      <c r="AR19" s="675" t="str">
        <f>'Translate&amp;Prices&amp;Logo'!$B$176</f>
        <v>Výška</v>
      </c>
      <c r="AS19" s="9"/>
      <c r="AT19" s="146"/>
      <c r="AU19" s="138">
        <f>IFERROR(IF(H12='závěsy dle výklopu'!BR2,VLOOKUP(H15,kombinace_4!$CD$3:$CF$18,3,0),IF(H12='závěsy dle výklopu'!BQ2,1,0)),0)</f>
        <v>0</v>
      </c>
      <c r="AV19" s="140">
        <f>IFERROR(VLOOKUP(H15,kombinace_4!$CD:$CF,3,0),0)</f>
        <v>0</v>
      </c>
    </row>
    <row r="20" spans="1:52" ht="18" customHeight="1">
      <c r="A20" s="61"/>
      <c r="B20" s="644">
        <f>IF(H13&lt;&gt;"Salice",(IFERROR('Translate&amp;Prices&amp;Logo'!$B$242&amp;" "&amp;(VLOOKUP(H17,kombinace_4!$BY$32:$CA$35,2,0)),0)),0)</f>
        <v>0</v>
      </c>
      <c r="C20" s="583"/>
      <c r="D20" s="583"/>
      <c r="E20" s="583"/>
      <c r="F20" s="638">
        <v>100</v>
      </c>
      <c r="G20" s="638"/>
      <c r="H20" s="638"/>
      <c r="I20" s="638"/>
      <c r="J20" s="583">
        <f>IFERROR('Translate&amp;Prices&amp;Logo'!$B$242&amp;" "&amp;(VLOOKUP(H17,kombinace_4!$BY$32:$CA$35,3,0)),0)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IF(kombinace_4!FC2=FALSE,'Translate&amp;Prices&amp;Logo'!$B$173," ")</f>
        <v>Typ upravy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Už nemeniť po tom čo vyberiete typ skla/sieťky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VLOOKUP(H17,kombinace_4!$BY$3:$BZ$6,2,0)</f>
        <v>#N/A</v>
      </c>
      <c r="AV23" s="140"/>
    </row>
    <row r="24" spans="1:52" ht="18" customHeight="1">
      <c r="A24" s="61"/>
      <c r="B24" s="614" t="str">
        <f>'Translate&amp;Prices&amp;Logo'!$B$562</f>
        <v>Typ fólie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Vzdialenosť od ľavého kraja</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skla/sieťky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VLOOKUP(H27,kombinace_4!$BY3:$BZ6,2,0)</f>
        <v>#N/A</v>
      </c>
      <c r="AV25" s="140"/>
    </row>
    <row r="26" spans="1:52" ht="18" customHeight="1">
      <c r="A26" s="61"/>
      <c r="B26" s="585" t="str">
        <f>'Translate&amp;Prices&amp;Logo'!$B$549</f>
        <v>Rozteč úchytiek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Umiestnenie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kusov</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Dodať vrátane uvedeného kovania -&gt; vyberte zo zoznamu: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VLOOKUP(H14,kombinace_4!$DN$7:$DO$24,2,0)</f>
        <v>#N/A</v>
      </c>
      <c r="AB29" s="626">
        <f>IF(kombinace_4!FC2=TRUE,AB4,IF(H12='závěsy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rámčekov celkom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Šírka</v>
      </c>
      <c r="AG30" s="625"/>
      <c r="AH30" s="625"/>
      <c r="AI30" s="618"/>
      <c r="AJ30" s="618"/>
      <c r="AK30" s="618"/>
      <c r="AL30" s="9"/>
      <c r="AM30" s="9"/>
      <c r="AN30" s="9"/>
      <c r="AO30" s="9"/>
      <c r="AP30" s="9"/>
      <c r="AQ30" s="9"/>
      <c r="AR30" s="9"/>
      <c r="AS30" s="9"/>
      <c r="AT30" s="146"/>
      <c r="AU30" s="138" t="e">
        <f>HLOOKUP("_Úzký_dolny_K12",kombinace_4!CV2:CW19,3,FALSE)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Súhrn</v>
      </c>
      <c r="AP31" s="674"/>
      <c r="AQ31" s="674"/>
      <c r="AR31" s="674"/>
      <c r="AS31" s="9"/>
      <c r="AT31" s="146"/>
      <c r="AU31" s="138" t="e">
        <f>AD44</f>
        <v>#N/A</v>
      </c>
    </row>
    <row r="32" spans="1:52" ht="17.25" customHeight="1">
      <c r="A32" s="61"/>
      <c r="B32" s="635" t="str">
        <f>'Translate&amp;Prices&amp;Logo'!$B$171</f>
        <v>Uvedené ceny sú bez DPH a nezahrňujú cenu požadovaného kovania!</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Rámy bez skla sa dodávajú v demontovanom stave.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IF(kombinace_4!V1=2,((AR14/1000)*(AI30/1000))*'Translate&amp;Prices&amp;Logo'!C94,0)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IF(kombinace_4!$V$1=3,IFERROR(((VLOOKUP(H24,'Translate&amp;Prices&amp;Logo'!B91:C93,2,0))*(AR14/1000)),0),0)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IF(kombinace_4!FC2=TRUE,_profily_síťka,IF(kombinace_4!H1=TRUE,_kombinovane_profily,_vše_profily))</f>
        <v>BRW (elox.) - maximálna odporúčaná odporúčaná dĺžka profilu 2500 mm</v>
      </c>
      <c r="L36" s="157" t="str">
        <f t="array" ref="L36:M36">IF(kombinace_4!H1=TRUE,'závěsy dle výklopu'!$BQ$2:$BR$2,
IF(H8=kombinace_4!A36,'závěsy dle výklopu'!$BQ$2,IF(H8=kombinace_4!A37,'závěsy dle výklopu'!$BQ$2,IF(H8=kombinace_4!A60,'závěsy dle výklopu'!$BQ$2,IF(H8=kombinace_4!A61,'závěsy dle výklopu'!$BQ$2,IF(H8=kombinace_4!A62,'závěsy dle výklopu'!$BQ$2,IF(H8=kombinace_4!A63,'závěsy dle výklopu'!$BQ$2,'závěsy dle výklopu'!$BQ$2:$BR$2)))))))</f>
        <v>Závesy</v>
      </c>
      <c r="M36" s="157" t="str">
        <v>Výklopy</v>
      </c>
      <c r="P36" s="157" t="str" cm="1">
        <f t="array" ref="P36:P38">IF(H13=kombinace_4!BQ11,kombinace_4!$DN$2,kombinace_4!$DN$2:$DN$4)</f>
        <v>Naložený</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55"/>
      <c r="AX36" s="255"/>
      <c r="AY36" s="255"/>
    </row>
    <row r="37" spans="1:58" s="157" customFormat="1" ht="15" hidden="1" customHeight="1">
      <c r="A37" s="140"/>
      <c r="B37" s="157" t="str">
        <v>BRW biela matt RAL 9003 - maximálna odporúčaná dĺžka profilu 2500 mm</v>
      </c>
      <c r="P37" s="157" t="e">
        <v>#N/A</v>
      </c>
      <c r="T37" s="157">
        <f ca="1"/>
        <v>0</v>
      </c>
      <c r="W37" s="157" t="str" cm="1">
        <f t="array" ref="W37:W38">IF(Hlavní!$V$39=3,"",'Translate&amp;Prices&amp;Logo'!B556:B557)</f>
        <v>Áno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biela lesk RAL 9003 - maximálna odporúčaná dĺžka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Nie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brúsené - maximálna odporúčaná dĺžka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čierna matt - maximálna odporúčaná dĺžka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čierna brúsená - maximálna odporúčaná dĺžka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svetlá nerez (INOX ACIER gratta)- maximálna odporúčaná dĺžka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maximálna odporúčaná dĺžka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maximálna odporúčaná dĺžka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maximálna odporúčaná dĺžka profilu 2500 mm</v>
      </c>
      <c r="M45" s="157" t="s">
        <v>2500</v>
      </c>
      <c r="N45" s="157" t="s">
        <v>1039</v>
      </c>
      <c r="AS45" s="133"/>
      <c r="AW45" s="255"/>
      <c r="AX45" s="255"/>
      <c r="AY45" s="255"/>
    </row>
    <row r="46" spans="1:58" s="157" customFormat="1" ht="14.85" hidden="1" customHeight="1">
      <c r="A46" s="140"/>
      <c r="B46" s="157" t="str">
        <v>BRW hnědá - maximálna odporúčaná dĺžka profilu 2500 mm</v>
      </c>
      <c r="M46" s="157" t="s">
        <v>4323</v>
      </c>
    </row>
    <row r="47" spans="1:58" s="157" customFormat="1" ht="14.85" hidden="1" customHeight="1">
      <c r="A47" s="140"/>
      <c r="B47" s="157" t="str">
        <v>BRW tmavá nerez brúsená (INOX LIJA) - maximálna odporúčaná dĺžka profilu 2500 mm</v>
      </c>
      <c r="M47" s="157" t="s">
        <v>4324</v>
      </c>
      <c r="T47" s="157" t="str">
        <f>CONCATENATE(H13,"_",VLOOKUP(kombinace_4!H1,kombinace_4!$J$14:$K$15,2,0))</f>
        <v>_2</v>
      </c>
      <c r="AD47" s="157" t="s">
        <v>4322</v>
      </c>
      <c r="AI47" s="112"/>
      <c r="AJ47" s="277"/>
      <c r="AN47" s="670"/>
      <c r="AO47" s="670"/>
      <c r="AP47" s="670"/>
      <c r="AQ47" s="670"/>
    </row>
    <row r="48" spans="1:58" s="157" customFormat="1" ht="14.85" hidden="1" customHeight="1">
      <c r="A48" s="140"/>
      <c r="B48" s="157" t="str">
        <v>BRW kašmír - maximálna odporúčaná dĺžka profilu 2500 mm</v>
      </c>
      <c r="T48" s="157" t="e">
        <f>VLOOKUP(AD42,kombinace_4!ER1:ES120,2,0)</f>
        <v>#N/A</v>
      </c>
      <c r="AS48"/>
      <c r="AT48"/>
    </row>
    <row r="49" spans="1:46" s="157" customFormat="1" ht="14.85" hidden="1" customHeight="1">
      <c r="A49" s="140"/>
      <c r="B49" s="157" t="str">
        <v>BRW zlatá - maximálna odporúčaná dĺžka profilu 2500 mm</v>
      </c>
      <c r="AS49"/>
      <c r="AT49"/>
    </row>
    <row r="50" spans="1:46" s="157" customFormat="1" ht="14.85" hidden="1" customHeight="1">
      <c r="A50" s="140"/>
      <c r="B50" s="157" t="str">
        <v>BRW zlatá brúsená - maximálna odporúčaná dĺžka profilu 2500 mm</v>
      </c>
      <c r="AS50"/>
      <c r="AT50"/>
    </row>
    <row r="51" spans="1:46" s="157" customFormat="1" ht="14.85" hidden="1" customHeight="1">
      <c r="A51" s="140"/>
      <c r="B51" s="157" t="str">
        <v>Corleone (elox.) - maximálna odporúčaná dĺžka profilu 1500 mm</v>
      </c>
      <c r="AS51"/>
      <c r="AT51"/>
    </row>
    <row r="52" spans="1:46" s="157" customFormat="1" ht="14.85" hidden="1" customHeight="1">
      <c r="A52" s="140"/>
      <c r="B52" s="157" t="str">
        <v>Corleone čierne mat - maximálna odporúčaná dĺžka profilu 1500 mm</v>
      </c>
      <c r="AS52"/>
      <c r="AT52"/>
    </row>
    <row r="53" spans="1:46" s="157" customFormat="1" ht="14.85" hidden="1" customHeight="1">
      <c r="A53" s="140"/>
      <c r="B53" s="157" t="str">
        <v>ASTI čierna mat - maximálna odporúčaná dĺžka profilu 2150</v>
      </c>
      <c r="AS53"/>
      <c r="AT53"/>
    </row>
    <row r="54" spans="1:46" s="157" customFormat="1" ht="14.85" hidden="1" customHeight="1">
      <c r="A54" s="140"/>
      <c r="B54" s="157" t="str">
        <v>ASTI antracit RAL 7021 mat - maximálna odporúčaná dĺžka profilu 2500 mm</v>
      </c>
      <c r="K54" s="157" t="str">
        <f t="array" ref="K54:K58">IF(OR($H$15=kombinace_4!AB40,$H$15=kombinace_4!AB7,$H$15=kombinace_4!AB15,$H$15=kombinace_4!AB20,$H$15=kombinace_4!AB21,$H$15=kombinace_4!AB22),'Translate&amp;Prices&amp;Logo'!$B$229:$B$231,IF($H$15=kombinace_4!AB41,'Translate&amp;Prices&amp;Logo'!$B$229:$B$231,'Translate&amp;Prices&amp;Logo'!$B$233:$B$237))</f>
        <v>Úzky ALU rámček</v>
      </c>
      <c r="T54" s="157" t="str">
        <f t="array" ref="T54:T56">kombinace_4!$EN$3:$EN$5</f>
        <v>Bez úprav</v>
      </c>
      <c r="U54" s="157">
        <v>1</v>
      </c>
      <c r="X54" s="157" t="str">
        <f t="array" ref="X54:X56">kombinace_4!$X$3:$X$5</f>
        <v>transparentné</v>
      </c>
      <c r="AD54" s="157" t="e">
        <f t="array" aca="1" ref="AD54:AD96" ca="1">IF(kombinace_4!FC2=FALSE,
INDIRECT(kombinace_4!S1),
IF(kombinace_4!FC2=TRUE,INDIRECT(VLOOKUP(Ram_4!H8,'závěsy dle výklopu'!A81:B90,2,0)),0))</f>
        <v>#N/A</v>
      </c>
      <c r="AS54"/>
      <c r="AT54"/>
    </row>
    <row r="55" spans="1:46" s="157" customFormat="1" ht="14.85" hidden="1" customHeight="1">
      <c r="A55" s="140"/>
      <c r="B55" s="157" t="str">
        <v>Imola (elox.) - maximálna odporúčaná dĺžka profilu 2500 mm</v>
      </c>
      <c r="K55" s="157" t="str">
        <v>Široký ALU rámček</v>
      </c>
      <c r="T55" s="157" t="str">
        <v>Kalené (termín dodania 4 týždne)</v>
      </c>
      <c r="U55" s="157">
        <v>2</v>
      </c>
      <c r="X55" s="157" t="str">
        <v>biela</v>
      </c>
      <c r="AD55" s="157" t="e">
        <f ca="1"/>
        <v>#N/A</v>
      </c>
      <c r="AS55"/>
      <c r="AT55"/>
    </row>
    <row r="56" spans="1:46" s="157" customFormat="1" ht="14.85" hidden="1" customHeight="1">
      <c r="A56" s="140"/>
      <c r="B56" s="157" t="str">
        <v>Imola čierna mat - maximálna odporúčaná dĺžka profilu 2500 mm</v>
      </c>
      <c r="K56" s="157" t="str">
        <v>MDF hrúbky 16 mm</v>
      </c>
      <c r="T56" s="157" t="str">
        <v>Folie</v>
      </c>
      <c r="U56" s="157">
        <v>3</v>
      </c>
      <c r="X56" s="157" t="str">
        <v>čierna</v>
      </c>
      <c r="AD56" s="157" t="e">
        <f ca="1"/>
        <v>#N/A</v>
      </c>
    </row>
    <row r="57" spans="1:46" s="157" customFormat="1" ht="14.85" hidden="1" customHeight="1">
      <c r="A57" s="140"/>
      <c r="B57" s="157" t="str">
        <v>Imola biela matt RAL 9003 - maximálna odporúčaná dĺžka profilu 2500 mm</v>
      </c>
      <c r="K57" s="157" t="str">
        <v>MDF hrúbky 18 mm</v>
      </c>
      <c r="AD57" s="157" t="e">
        <f ca="1"/>
        <v>#N/A</v>
      </c>
    </row>
    <row r="58" spans="1:46" s="157" customFormat="1" ht="14.85" hidden="1" customHeight="1">
      <c r="A58" s="140"/>
      <c r="B58" s="157" t="str">
        <v>Imola zlatá - maximálna odporúčaná dĺžka profilu 2150 mm</v>
      </c>
      <c r="K58" s="157" t="str">
        <v>DTDL hrúbky 18 mm</v>
      </c>
      <c r="AD58" s="157" t="e">
        <f ca="1"/>
        <v>#N/A</v>
      </c>
    </row>
    <row r="59" spans="1:46" s="157" customFormat="1" ht="14.85" hidden="1" customHeight="1">
      <c r="A59" s="140"/>
      <c r="B59" s="157" t="str">
        <v>Modena (elox.) - maximálna odporúčaná dĺžka profilu 2500 mm</v>
      </c>
      <c r="T59" s="157">
        <f>IFERROR(VLOOKUP($H$21,$T$54:$U$56,2,0),0)</f>
        <v>0</v>
      </c>
      <c r="AD59" s="157" t="e">
        <f ca="1"/>
        <v>#N/A</v>
      </c>
    </row>
    <row r="60" spans="1:46" s="157" customFormat="1" ht="14.85" hidden="1" customHeight="1">
      <c r="A60" s="140"/>
      <c r="B60" s="157" t="str">
        <v>Modena čierna matt - maximálna odporúčaná dĺžka profilu 2500 mm</v>
      </c>
      <c r="K60" s="157" t="b">
        <f>K56=K61</f>
        <v>0</v>
      </c>
      <c r="AD60" s="157" t="e">
        <f ca="1"/>
        <v>#N/A</v>
      </c>
    </row>
    <row r="61" spans="1:46" s="157" customFormat="1" ht="14.85" hidden="1" customHeight="1">
      <c r="A61" s="140"/>
      <c r="B61" s="157" t="str">
        <v>Modena čierna brúsená - maximálna odporúčaná dĺžka profilu 2500 mm</v>
      </c>
      <c r="H61" s="157" t="str">
        <f>'Translate&amp;Prices&amp;Logo'!$B$186</f>
        <v>Spodné dvierko</v>
      </c>
      <c r="K61" s="157" t="str">
        <f>'Translate&amp;Prices&amp;Logo'!$B$231</f>
        <v>2 Kusy (obe strany)</v>
      </c>
      <c r="AD61" s="157" t="e">
        <f ca="1"/>
        <v>#N/A</v>
      </c>
    </row>
    <row r="62" spans="1:46" s="157" customFormat="1" ht="14.85" hidden="1" customHeight="1">
      <c r="A62" s="140"/>
      <c r="B62" s="157" t="str">
        <v>Modena tmavá nerez brúsená LIJA - maximálna odporúčaná dĺžka profilu 2500 mm</v>
      </c>
      <c r="AD62" s="157" t="e">
        <f ca="1"/>
        <v>#N/A</v>
      </c>
    </row>
    <row r="63" spans="1:46" s="157" customFormat="1" ht="14.85" hidden="1" customHeight="1">
      <c r="A63" s="140"/>
      <c r="B63" s="157" t="str">
        <v>Modena hnědá - maximálna odporúčaná dĺžka profilu 2500 mm</v>
      </c>
      <c r="AD63" s="157" t="e">
        <f ca="1"/>
        <v>#N/A</v>
      </c>
    </row>
    <row r="64" spans="1:46" s="157" customFormat="1" ht="14.85" hidden="1" customHeight="1">
      <c r="A64" s="140"/>
      <c r="B64" s="157" t="str">
        <v>Pisa (elox.) - maximálna odporúčaná dĺžka profilu 2500 mm</v>
      </c>
      <c r="AD64" s="157" t="e">
        <f ca="1"/>
        <v>#N/A</v>
      </c>
    </row>
    <row r="65" spans="1:30" s="157" customFormat="1" ht="14.85" hidden="1" customHeight="1">
      <c r="A65" s="140"/>
      <c r="B65" s="157" t="str">
        <v>Pisa biela mat RAL 9003 - maximálna odporúčaná dĺžka profilu 2500 mm</v>
      </c>
      <c r="H65" s="33" t="str">
        <f>'rozpad závěsů bez prázdn. řádků'!$K$1</f>
        <v>krížová skrutka</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výklopu'!$BQ$2,$J$65:$J$71,'Translate&amp;Prices&amp;Logo'!$B$185:$B$186)))</f>
        <v>Horné dvierko</v>
      </c>
      <c r="AD65" s="157" t="e">
        <f ca="1"/>
        <v>#N/A</v>
      </c>
    </row>
    <row r="66" spans="1:30" s="157" customFormat="1" ht="14.85" hidden="1" customHeight="1">
      <c r="A66" s="140"/>
      <c r="B66" s="157" t="str">
        <v>Pisa biela lesk RAL 9003 - maximálna odporúčaná dĺžka profilu 2500 mm</v>
      </c>
      <c r="H66" s="33" t="str">
        <f>'rozpad závěsů bez prázdn. řádků'!$M$1</f>
        <v>na vrut (s excentrom)</v>
      </c>
      <c r="I66" s="159">
        <v>8</v>
      </c>
      <c r="J66" s="32" t="e">
        <f>VLOOKUP($H$15,'rozpad závěsů bez prázdn. řádků'!$G$2:$X$66,I66,0)</f>
        <v>#N/A</v>
      </c>
      <c r="O66" s="157" t="str">
        <v>Spodné dvierko</v>
      </c>
      <c r="AD66" s="157" t="e">
        <f ca="1"/>
        <v>#N/A</v>
      </c>
    </row>
    <row r="67" spans="1:30" s="157" customFormat="1" ht="14.85" hidden="1" customHeight="1">
      <c r="A67" s="140"/>
      <c r="B67" s="157" t="str">
        <v>Pisa čierna matt - maximálna odporúčaná dĺžka profilu 2500 mm</v>
      </c>
      <c r="H67" s="33" t="str">
        <f>'rozpad závěsů bez prázdn. řádků'!$O$1</f>
        <v>euroskrut</v>
      </c>
      <c r="I67" s="159">
        <v>10</v>
      </c>
      <c r="J67" s="32" t="e">
        <f>VLOOKUP($H$15,'rozpad závěsů bez prázdn. řádků'!$G$2:$X$66,I67,0)</f>
        <v>#N/A</v>
      </c>
      <c r="AD67" s="157" t="e">
        <f ca="1"/>
        <v>#N/A</v>
      </c>
    </row>
    <row r="68" spans="1:30" s="157" customFormat="1" ht="14.85" hidden="1" customHeight="1">
      <c r="A68" s="140"/>
      <c r="B68" s="157" t="str">
        <v>Pisa zlatá - maximálna odporúčaná dĺžka profilu 2150 mm</v>
      </c>
      <c r="H68" s="33" t="str">
        <f>'rozpad závěsů bez prázdn. řádků'!$Q$1</f>
        <v>křížová expando</v>
      </c>
      <c r="I68" s="159">
        <v>12</v>
      </c>
      <c r="J68" s="32" t="e">
        <f>VLOOKUP($H$15,'rozpad závěsů bez prázdn. řádků'!$G$2:$X$66,I68,0)</f>
        <v>#N/A</v>
      </c>
      <c r="AD68" s="157" t="e">
        <f ca="1"/>
        <v>#N/A</v>
      </c>
    </row>
    <row r="69" spans="1:30" s="157" customFormat="1" ht="14.85" hidden="1" customHeight="1">
      <c r="A69" s="140"/>
      <c r="B69" s="157" t="str">
        <v>Rocca (elox.) - maximálna odporúčaná dĺžka profilu 2150 mm</v>
      </c>
      <c r="H69" s="33" t="str">
        <f>'rozpad závěsů bez prázdn. řádků'!$S$1</f>
        <v>priama Skrut</v>
      </c>
      <c r="I69" s="159">
        <v>14</v>
      </c>
      <c r="J69" s="32" t="e">
        <f>VLOOKUP($H$15,'rozpad závěsů bez prázdn. řádků'!$G$2:$X$66,I69,0)</f>
        <v>#N/A</v>
      </c>
      <c r="AD69" s="157" t="e">
        <f ca="1"/>
        <v>#N/A</v>
      </c>
    </row>
    <row r="70" spans="1:30" s="157" customFormat="1" ht="14.85" hidden="1" customHeight="1">
      <c r="A70" s="140"/>
      <c r="B70" s="157" t="str">
        <v>Rocca čierna mat - maximálna odporúčaná dĺžka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čierna matt - maximálna odporúčaná dĺžka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maximálna odporúčaná dĺžka profilu 2500 mm</v>
      </c>
      <c r="AD72" s="157" t="e">
        <f ca="1"/>
        <v>#N/A</v>
      </c>
    </row>
    <row r="73" spans="1:30" s="157" customFormat="1" ht="14.85" hidden="1" customHeight="1">
      <c r="A73" s="140"/>
      <c r="B73" s="157" t="str">
        <v>Verona brúsená - maximálna odporúčaná dĺžka profilu 2500 mm</v>
      </c>
      <c r="AD73" s="157" t="e">
        <f ca="1"/>
        <v>#N/A</v>
      </c>
    </row>
    <row r="74" spans="1:30" s="157" customFormat="1" ht="14.85" hidden="1" customHeight="1">
      <c r="A74" s="140"/>
      <c r="B74" s="157" t="str">
        <v>Verona čierna mat - maximálna odporúčaná dĺžka profilu 2500 mm</v>
      </c>
      <c r="AD74" s="157" t="e">
        <f ca="1"/>
        <v>#N/A</v>
      </c>
    </row>
    <row r="75" spans="1:30" s="157" customFormat="1" ht="14.85" hidden="1" customHeight="1">
      <c r="A75" s="140"/>
      <c r="B75" s="157" t="str">
        <v>Verona čierna lesk - maximálna odporúčaná dĺžka profilu 2500 mm</v>
      </c>
      <c r="AD75" s="157" t="e">
        <f ca="1"/>
        <v>#N/A</v>
      </c>
    </row>
    <row r="76" spans="1:30" s="157" customFormat="1" ht="14.85" hidden="1" customHeight="1">
      <c r="A76" s="140"/>
      <c r="B76" s="157" t="str">
        <v>Verona hnědá - maximálna odporúčaná dĺžka profilu 2500 mm</v>
      </c>
      <c r="AD76" s="157" t="e">
        <f ca="1"/>
        <v>#N/A</v>
      </c>
    </row>
    <row r="77" spans="1:30" s="157" customFormat="1" ht="14.85" hidden="1" customHeight="1">
      <c r="A77" s="140"/>
      <c r="B77" s="157" t="str">
        <v>Verona champagne - maximálna odporúčaná dĺžka profilu 2500 mm</v>
      </c>
      <c r="AD77" s="157" t="e">
        <f ca="1"/>
        <v>#N/A</v>
      </c>
    </row>
    <row r="78" spans="1:30" s="157" customFormat="1" ht="14.85" hidden="1" customHeight="1">
      <c r="A78" s="140"/>
      <c r="B78" s="157" t="str">
        <v>Verona nerez brúsená - maximálna odporúčaná dĺžka profilu 2500 mm</v>
      </c>
      <c r="AD78" s="157" t="e">
        <f ca="1"/>
        <v>#N/A</v>
      </c>
    </row>
    <row r="79" spans="1:30" s="157" customFormat="1" ht="14.85" hidden="1" customHeight="1">
      <c r="A79" s="140"/>
      <c r="B79" s="157" t="str">
        <v>Verona svetlá nerez brúsená Acier - maximálna odporúčaná dĺžka profilu 2500 mm</v>
      </c>
      <c r="AD79" s="157" t="e">
        <f ca="1"/>
        <v>#N/A</v>
      </c>
    </row>
    <row r="80" spans="1:30" s="157" customFormat="1" ht="14.85" hidden="1" customHeight="1">
      <c r="A80" s="140"/>
      <c r="B80" s="157" t="str">
        <v>Verona Ivory mat - maximálna odporúčaná dĺžka profilu 2150 mm</v>
      </c>
      <c r="AD80" s="157" t="e">
        <f ca="1"/>
        <v>#N/A</v>
      </c>
    </row>
    <row r="81" spans="1:38" s="157" customFormat="1" ht="14.85" hidden="1" customHeight="1">
      <c r="A81" s="140"/>
      <c r="B81" s="157" t="str">
        <v>Verona kašmír - maximálna odporúčaná dĺžka profilu 2150 mm</v>
      </c>
      <c r="AD81" s="157" t="e">
        <f ca="1"/>
        <v>#N/A</v>
      </c>
    </row>
    <row r="82" spans="1:38" s="157" customFormat="1" ht="14.85" hidden="1" customHeight="1">
      <c r="A82" s="140"/>
      <c r="B82" s="157" t="str">
        <v>Verona zlatá - maximálna odporúčaná dĺžka profilu 2150 mm</v>
      </c>
      <c r="P82" s="157" t="str" cm="1">
        <f t="array" ref="P82:P85">IF(OR(H8=kombinace_4!F18,H8=kombinace_4!F19,H8=kombinace_4!A60,H8=kombinace_4!A61,H8=kombinace_4!A62,H8=kombinace_4!A63),_2_strany,IF(H15=kombinace_4!AB8,_ramena_HL,_4_strany))</f>
        <v>Navrchu</v>
      </c>
      <c r="AD82" s="157" t="e">
        <f ca="1"/>
        <v>#N/A</v>
      </c>
    </row>
    <row r="83" spans="1:38" ht="14.85" hidden="1" customHeight="1">
      <c r="B83" s="138" t="str">
        <v>Verona zlatá brúsená - maximálna odporúčaná dĺžka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maximálna odporúčaná dĺžka profilu 2500 mm</v>
      </c>
      <c r="C84" s="140"/>
      <c r="D84" s="140"/>
      <c r="E84" s="140"/>
      <c r="F84" s="140"/>
      <c r="G84" s="140"/>
      <c r="H84" s="140"/>
      <c r="I84" s="140"/>
      <c r="J84" s="140"/>
      <c r="K84" s="140"/>
      <c r="L84" s="140"/>
      <c r="M84" s="140"/>
      <c r="N84" s="140"/>
      <c r="O84" s="138"/>
      <c r="P84" s="140" t="str">
        <v>Vpravo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čierne mat - maximálna odporúčaná dĺžka profilu 2500 mm</v>
      </c>
      <c r="C85" s="140"/>
      <c r="D85" s="140"/>
      <c r="E85" s="140"/>
      <c r="F85" s="140"/>
      <c r="G85" s="140"/>
      <c r="H85" s="140"/>
      <c r="I85" s="140"/>
      <c r="J85" s="140"/>
      <c r="K85" s="140"/>
      <c r="L85" s="140"/>
      <c r="M85" s="140"/>
      <c r="N85" s="140"/>
      <c r="O85" s="140"/>
      <c r="P85" s="140" t="str">
        <v>Vľavo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maximálna odporúčaná dĺžka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biela matt RAL 9003 - maximálna odporúčaná dĺžka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biela lesk RAL 9003 - maximálna odporúčaná dĺžka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maximálna odporúčaná dĺžka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brúsená - maximálna odporúčaná dĺžka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(Vľavo a vpravo) + Varna elox (Hore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čierna (Vľavo a vpravo) + Varna čierna (Hore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čierna mat - maximálna odporúčaná dĺžka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maximálna odporúčaná dĺžka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čierna mat - maximálna odporúčaná dĺžka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maximálna odporúčaná dĺžka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6ysWrrAG9ea/cinDsCTBK5qmq05mPygQ486C60ji2kZkFWHgLed/52zKs3vesVxCRqKDz+pN5Yp01tJetV0kEQ==" saltValue="73s9spNOIoOC9qLALHDdQ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8" priority="24" operator="equal">
      <formula>$A$2</formula>
    </cfRule>
  </conditionalFormatting>
  <conditionalFormatting sqref="B16:I16">
    <cfRule type="expression" dxfId="317" priority="45">
      <formula>$AU$19=0</formula>
    </cfRule>
  </conditionalFormatting>
  <conditionalFormatting sqref="B9:Q9">
    <cfRule type="expression" dxfId="316" priority="30">
      <formula>$B$9=0</formula>
    </cfRule>
  </conditionalFormatting>
  <conditionalFormatting sqref="B11:Q11">
    <cfRule type="expression" dxfId="315" priority="44">
      <formula>$AU$10=0</formula>
    </cfRule>
  </conditionalFormatting>
  <conditionalFormatting sqref="B14:Q14">
    <cfRule type="expression" dxfId="314" priority="29">
      <formula>$B$14=0</formula>
    </cfRule>
  </conditionalFormatting>
  <conditionalFormatting sqref="B17:Q17">
    <cfRule type="expression" dxfId="313" priority="28">
      <formula>$B$17=0</formula>
    </cfRule>
  </conditionalFormatting>
  <conditionalFormatting sqref="B18:Q18">
    <cfRule type="expression" dxfId="312" priority="14" stopIfTrue="1">
      <formula>$B$18=0</formula>
    </cfRule>
    <cfRule type="expression" dxfId="311" priority="17">
      <formula>$F$16=$H$61</formula>
    </cfRule>
  </conditionalFormatting>
  <conditionalFormatting sqref="B19:Q19">
    <cfRule type="expression" dxfId="310" priority="27">
      <formula>$B$19=0</formula>
    </cfRule>
  </conditionalFormatting>
  <conditionalFormatting sqref="B20:Q20">
    <cfRule type="expression" dxfId="309" priority="25">
      <formula>$B$20=0</formula>
    </cfRule>
    <cfRule type="expression" dxfId="308" priority="26">
      <formula>$B$19=0</formula>
    </cfRule>
  </conditionalFormatting>
  <conditionalFormatting sqref="B21:Q21">
    <cfRule type="expression" dxfId="307" priority="6">
      <formula>$B$21=" "</formula>
    </cfRule>
  </conditionalFormatting>
  <conditionalFormatting sqref="B24:Q24">
    <cfRule type="expression" dxfId="306" priority="19" stopIfTrue="1">
      <formula>$T$59&lt;3</formula>
    </cfRule>
  </conditionalFormatting>
  <conditionalFormatting sqref="H23">
    <cfRule type="expression" dxfId="305" priority="31">
      <formula>$H$25&gt;0</formula>
    </cfRule>
  </conditionalFormatting>
  <conditionalFormatting sqref="H10:L11">
    <cfRule type="expression" dxfId="304" priority="23">
      <formula>$AU$10=2</formula>
    </cfRule>
  </conditionalFormatting>
  <conditionalFormatting sqref="H10:Q10">
    <cfRule type="expression" dxfId="303" priority="22">
      <formula>$AU$10=0</formula>
    </cfRule>
  </conditionalFormatting>
  <conditionalFormatting sqref="H22:Q22 B22:G23">
    <cfRule type="expression" dxfId="302" priority="20">
      <formula>$AS$33=1</formula>
    </cfRule>
  </conditionalFormatting>
  <conditionalFormatting sqref="J16:M16">
    <cfRule type="expression" dxfId="301" priority="16" stopIfTrue="1">
      <formula>$K$60=TRUE</formula>
    </cfRule>
  </conditionalFormatting>
  <conditionalFormatting sqref="J16:N16">
    <cfRule type="expression" dxfId="300" priority="18" stopIfTrue="1">
      <formula>$AV$19=0</formula>
    </cfRule>
  </conditionalFormatting>
  <conditionalFormatting sqref="M10:Q11">
    <cfRule type="expression" dxfId="299" priority="21">
      <formula>$AU$10=1</formula>
    </cfRule>
  </conditionalFormatting>
  <conditionalFormatting sqref="N16:Q16">
    <cfRule type="expression" dxfId="298" priority="15" stopIfTrue="1">
      <formula>$K$60=TRUE</formula>
    </cfRule>
  </conditionalFormatting>
  <conditionalFormatting sqref="P29:Q29">
    <cfRule type="expression" dxfId="297" priority="1">
      <formula>$U$41=2</formula>
    </cfRule>
  </conditionalFormatting>
  <conditionalFormatting sqref="AA9:AA10 AA24:AA25">
    <cfRule type="expression" dxfId="296" priority="10" stopIfTrue="1">
      <formula>$AU$17=1</formula>
    </cfRule>
  </conditionalFormatting>
  <conditionalFormatting sqref="AA16:AA17">
    <cfRule type="expression" dxfId="295" priority="5" stopIfTrue="1">
      <formula>$AU$24="1_3"</formula>
    </cfRule>
  </conditionalFormatting>
  <conditionalFormatting sqref="AB6 AA6:AA7 AA27 AA28:AB28">
    <cfRule type="expression" dxfId="294" priority="4" stopIfTrue="1">
      <formula>$AV$17=1</formula>
    </cfRule>
  </conditionalFormatting>
  <conditionalFormatting sqref="AB29:AO29">
    <cfRule type="cellIs" dxfId="293" priority="2" operator="equal">
      <formula>0</formula>
    </cfRule>
  </conditionalFormatting>
  <conditionalFormatting sqref="AC6:AD6 AM6:AN6">
    <cfRule type="expression" dxfId="292" priority="12" stopIfTrue="1">
      <formula>$AU$17=3</formula>
    </cfRule>
  </conditionalFormatting>
  <conditionalFormatting sqref="AC25:AD25 AJ26:AJ27">
    <cfRule type="expression" dxfId="291" priority="39">
      <formula>$AU$25=4</formula>
    </cfRule>
  </conditionalFormatting>
  <conditionalFormatting sqref="AC28:AD28 AM28:AN28">
    <cfRule type="expression" dxfId="290" priority="11" stopIfTrue="1">
      <formula>$AU$17=4</formula>
    </cfRule>
  </conditionalFormatting>
  <conditionalFormatting sqref="AC8:AG8">
    <cfRule type="expression" dxfId="289" priority="43">
      <formula>$AU$25=3</formula>
    </cfRule>
  </conditionalFormatting>
  <conditionalFormatting sqref="AC24:AG24">
    <cfRule type="expression" dxfId="288" priority="40">
      <formula>$AU$25=4</formula>
    </cfRule>
  </conditionalFormatting>
  <conditionalFormatting sqref="AD10:AD12 AB19:AC19">
    <cfRule type="expression" dxfId="287" priority="33">
      <formula>$AU$25=1</formula>
    </cfRule>
  </conditionalFormatting>
  <conditionalFormatting sqref="AD14:AD21">
    <cfRule type="expression" dxfId="286" priority="32">
      <formula>$AU$25=1</formula>
    </cfRule>
  </conditionalFormatting>
  <conditionalFormatting sqref="AE10:AE16">
    <cfRule type="expression" dxfId="285" priority="41">
      <formula>$AU$25=1</formula>
    </cfRule>
  </conditionalFormatting>
  <conditionalFormatting sqref="AF9:AK9">
    <cfRule type="expression" dxfId="284" priority="36">
      <formula>$AU$25=3</formula>
    </cfRule>
  </conditionalFormatting>
  <conditionalFormatting sqref="AF25:AK25">
    <cfRule type="expression" dxfId="283" priority="38">
      <formula>$AU$25=4</formula>
    </cfRule>
  </conditionalFormatting>
  <conditionalFormatting sqref="AG6:AH6">
    <cfRule type="expression" dxfId="282" priority="8" stopIfTrue="1">
      <formula>$AU$24="3_3"</formula>
    </cfRule>
  </conditionalFormatting>
  <conditionalFormatting sqref="AG28:AH28">
    <cfRule type="expression" dxfId="281" priority="7" stopIfTrue="1">
      <formula>$AU$24="4_3"</formula>
    </cfRule>
  </conditionalFormatting>
  <conditionalFormatting sqref="AJ7:AJ8 AC9:AD9">
    <cfRule type="expression" dxfId="280" priority="37">
      <formula>$AU$25=3</formula>
    </cfRule>
  </conditionalFormatting>
  <conditionalFormatting sqref="AL19:AL25">
    <cfRule type="expression" dxfId="279" priority="42">
      <formula>$AU$25=2</formula>
    </cfRule>
  </conditionalFormatting>
  <conditionalFormatting sqref="AM14:AM21">
    <cfRule type="expression" dxfId="278" priority="34">
      <formula>$AU$25=2</formula>
    </cfRule>
  </conditionalFormatting>
  <conditionalFormatting sqref="AN19:AO19 AM23:AM25">
    <cfRule type="expression" dxfId="277" priority="35">
      <formula>$AU$25=2</formula>
    </cfRule>
  </conditionalFormatting>
  <conditionalFormatting sqref="AO6 AP6:AP7 AP27 AO28:AP28">
    <cfRule type="expression" dxfId="276" priority="3" stopIfTrue="1">
      <formula>$AV$17=2</formula>
    </cfRule>
  </conditionalFormatting>
  <conditionalFormatting sqref="AP9:AP10 AP24:AP25">
    <cfRule type="expression" dxfId="275" priority="9" stopIfTrue="1">
      <formula>$AU$17=2</formula>
    </cfRule>
  </conditionalFormatting>
  <conditionalFormatting sqref="AP16:AP17">
    <cfRule type="expression" dxfId="274"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$AD$54:$AD$96</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B36:B96</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'Translate&amp;Prices&amp;Logo'!B553</f>
        <v>Naložený</v>
      </c>
      <c r="DP2" t="str">
        <f>'Translate&amp;Prices&amp;Logo'!$B$551</f>
        <v>Závesy</v>
      </c>
      <c r="DQ2">
        <v>2</v>
      </c>
      <c r="ED2" t="s">
        <v>1649</v>
      </c>
      <c r="EE2" t="s">
        <v>3242</v>
      </c>
      <c r="ER2" t="s">
        <v>2157</v>
      </c>
      <c r="ES2" t="s">
        <v>2162</v>
      </c>
      <c r="EV2">
        <v>2</v>
      </c>
      <c r="EW2" t="s">
        <v>2179</v>
      </c>
      <c r="EY2" s="213" t="str">
        <f>'Translate&amp;Prices&amp;Logo'!B164</f>
        <v>sieťka alu zlatá - rozmer oka 10x6x1 mm</v>
      </c>
      <c r="FA2" s="34" t="str">
        <f>'Translate&amp;Prices&amp;Logo'!B644</f>
        <v>520405 SALICE AIR SOFT niklový závěs s úhlem otevírání 92° sada 2ks</v>
      </c>
      <c r="FC2" t="b">
        <v>0</v>
      </c>
    </row>
    <row r="3" spans="1:159">
      <c r="A3" t="str">
        <f>'Translate&amp;Prices&amp;Logo'!$B$6</f>
        <v>BRW (elox.) - maximálna odporúčaná odporúčaná dĺžka profilu 2500 mm</v>
      </c>
      <c r="B3">
        <v>1</v>
      </c>
      <c r="C3" t="s">
        <v>651</v>
      </c>
      <c r="D3">
        <v>1</v>
      </c>
      <c r="F3" t="s">
        <v>950</v>
      </c>
      <c r="G3" t="s">
        <v>382</v>
      </c>
      <c r="H3" t="s">
        <v>951</v>
      </c>
      <c r="I3">
        <v>1</v>
      </c>
      <c r="J3">
        <v>2</v>
      </c>
      <c r="K3" t="s">
        <v>651</v>
      </c>
      <c r="M3" t="s">
        <v>952</v>
      </c>
      <c r="N3" t="s">
        <v>554</v>
      </c>
      <c r="X3" t="str">
        <f>'Translate&amp;Prices&amp;Logo'!$B$563</f>
        <v>transparentné</v>
      </c>
      <c r="Y3">
        <v>1</v>
      </c>
      <c r="AA3" t="s">
        <v>2083</v>
      </c>
      <c r="AB3" t="s">
        <v>1009</v>
      </c>
      <c r="AF3" t="s">
        <v>105</v>
      </c>
      <c r="AG3" t="s">
        <v>2377</v>
      </c>
      <c r="AY3" t="s">
        <v>984</v>
      </c>
      <c r="BK3" t="s">
        <v>105</v>
      </c>
      <c r="BU3" t="e">
        <f>VLOOKUP(BU2,BV2:BW9,2,0)</f>
        <v>#N/A</v>
      </c>
      <c r="BV3" t="s">
        <v>1015</v>
      </c>
      <c r="BW3" t="s">
        <v>1012</v>
      </c>
      <c r="BY3" t="str">
        <f>'Translate&amp;Prices&amp;Logo'!$B$230</f>
        <v>Vľavo</v>
      </c>
      <c r="BZ3">
        <v>1</v>
      </c>
      <c r="CA3">
        <v>32</v>
      </c>
      <c r="CD3" t="s">
        <v>2374</v>
      </c>
      <c r="CE3">
        <v>1</v>
      </c>
      <c r="CF3">
        <v>1</v>
      </c>
      <c r="DN3" t="e">
        <f>IF(OR(Ram_4!$H$13&amp;Ram_4!$AU$7=Ram_4!$M$44,
Ram_4!$H$13&amp;Ram_4!$AU$7=Ram_4!$M$45,
Ram_4!$H$13&amp;Ram_4!$AU$7=Ram_4!$M$46,
Ram_4!$H$13&amp;Ram_4!$AU$7=Ram_4!$M$47),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sieťka ocel čierna mat - rozmer oka 8x4x1 mm</v>
      </c>
      <c r="FA3" s="34" t="str">
        <f>'Translate&amp;Prices&amp;Logo'!B645</f>
        <v>520406 SALICE AIR PUSH TO OPEN niklový závěs s adaptérem sada 2ks</v>
      </c>
    </row>
    <row r="4" spans="1:159">
      <c r="A4" t="str">
        <f>'Translate&amp;Prices&amp;Logo'!$B$8</f>
        <v>BRW biela matt RAL 9003 - maximálna odporúčaná dĺžka profilu 2500 mm</v>
      </c>
      <c r="B4">
        <v>1</v>
      </c>
      <c r="C4" t="s">
        <v>651</v>
      </c>
      <c r="D4">
        <v>0</v>
      </c>
      <c r="G4" t="s">
        <v>951</v>
      </c>
      <c r="H4" t="s">
        <v>382</v>
      </c>
      <c r="I4">
        <v>0</v>
      </c>
      <c r="J4">
        <v>2</v>
      </c>
      <c r="K4" t="s">
        <v>651</v>
      </c>
      <c r="M4" t="s">
        <v>955</v>
      </c>
      <c r="N4" t="s">
        <v>856</v>
      </c>
      <c r="X4" t="str">
        <f>'Translate&amp;Prices&amp;Logo'!$B$564</f>
        <v>biela</v>
      </c>
      <c r="Y4">
        <v>2</v>
      </c>
      <c r="AA4" t="s">
        <v>954</v>
      </c>
      <c r="AB4" t="s">
        <v>2374</v>
      </c>
      <c r="AC4">
        <v>1</v>
      </c>
      <c r="AD4">
        <v>1</v>
      </c>
      <c r="AF4" t="s">
        <v>106</v>
      </c>
      <c r="AG4" t="s">
        <v>2377</v>
      </c>
      <c r="AY4" t="s">
        <v>984</v>
      </c>
      <c r="AZ4" t="s">
        <v>1017</v>
      </c>
      <c r="BK4" t="s">
        <v>106</v>
      </c>
      <c r="BV4" t="s">
        <v>1016</v>
      </c>
      <c r="BW4" t="s">
        <v>1011</v>
      </c>
      <c r="BY4" t="str">
        <f>'Translate&amp;Prices&amp;Logo'!$B$229</f>
        <v>Vpravo</v>
      </c>
      <c r="BZ4">
        <v>2</v>
      </c>
      <c r="CA4">
        <v>64</v>
      </c>
      <c r="CD4" t="s">
        <v>2154</v>
      </c>
      <c r="CE4">
        <v>1</v>
      </c>
      <c r="CF4">
        <v>0</v>
      </c>
      <c r="DN4" t="e">
        <f>IF(OR(Ram_4!$H$13&amp;Ram_4!$AU$7=Ram_4!$M$44,
Ram_4!$H$13&amp;Ram_4!$AU$7=Ram_4!$M$45,
Ram_4!$H$13&amp;Ram_4!$AU$7=Ram_4!$M$46,
Ram_4!$H$13&amp;Ram_4!$AU$7=Ram_4!$M$47),
'Translate&amp;Prices&amp;Logo'!B657,'Translate&amp;Prices&amp;Logo'!B555)</f>
        <v>#N/A</v>
      </c>
      <c r="ED4" t="s">
        <v>1651</v>
      </c>
      <c r="EE4" t="s">
        <v>3247</v>
      </c>
      <c r="EJ4">
        <v>2</v>
      </c>
      <c r="EK4" t="s">
        <v>114</v>
      </c>
      <c r="EN4" t="str">
        <f>'Translate&amp;Prices&amp;Logo'!B639</f>
        <v>Kalené (termín dodania 4 týždne)</v>
      </c>
      <c r="EO4">
        <v>2</v>
      </c>
      <c r="ER4" t="s">
        <v>2449</v>
      </c>
      <c r="ES4" t="s">
        <v>2450</v>
      </c>
      <c r="EV4">
        <v>4</v>
      </c>
      <c r="EW4" t="s">
        <v>2181</v>
      </c>
      <c r="EY4" s="213" t="str">
        <f>'Translate&amp;Prices&amp;Logo'!B166</f>
        <v>sieťka ocel biela - rozmer oka 8x4x1 mm</v>
      </c>
      <c r="FA4" s="34" t="str">
        <f>'Translate&amp;Prices&amp;Logo'!B646</f>
        <v>520407 SALICE AIR PUSH TO OPEN niklový závěs s adaptérem sada 2ks</v>
      </c>
    </row>
    <row r="5" spans="1:159">
      <c r="A5" t="str">
        <f>'Translate&amp;Prices&amp;Logo'!$B$9</f>
        <v>BRW biela lesk RAL 9003 - maximálna odporúčaná dĺžka profilu 2500 mm</v>
      </c>
      <c r="B5">
        <v>1</v>
      </c>
      <c r="C5" t="s">
        <v>651</v>
      </c>
      <c r="D5">
        <v>0</v>
      </c>
      <c r="F5" t="s">
        <v>957</v>
      </c>
      <c r="G5" t="s">
        <v>381</v>
      </c>
      <c r="H5" t="s">
        <v>951</v>
      </c>
      <c r="I5">
        <v>1</v>
      </c>
      <c r="J5">
        <v>2</v>
      </c>
      <c r="K5" t="s">
        <v>651</v>
      </c>
      <c r="M5" t="s">
        <v>958</v>
      </c>
      <c r="N5" t="s">
        <v>556</v>
      </c>
      <c r="X5" t="str">
        <f>'Translate&amp;Prices&amp;Logo'!$B$565</f>
        <v>čierna</v>
      </c>
      <c r="Y5">
        <v>3</v>
      </c>
      <c r="AA5" t="s">
        <v>954</v>
      </c>
      <c r="AB5" t="s">
        <v>2378</v>
      </c>
      <c r="AC5">
        <v>0</v>
      </c>
      <c r="AD5">
        <v>0</v>
      </c>
      <c r="AF5" t="s">
        <v>105</v>
      </c>
      <c r="AG5" t="s">
        <v>2379</v>
      </c>
      <c r="AY5" t="s">
        <v>984</v>
      </c>
      <c r="AZ5" t="s">
        <v>1018</v>
      </c>
      <c r="BK5" t="s">
        <v>961</v>
      </c>
      <c r="BV5" t="s">
        <v>2501</v>
      </c>
      <c r="BW5" t="s">
        <v>2502</v>
      </c>
      <c r="BY5" t="str">
        <f>'Translate&amp;Prices&amp;Logo'!$B$227</f>
        <v>Navrchu</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sieťka elox - rozmer oka 10x6x1 mm</v>
      </c>
      <c r="FA5" s="34" t="str">
        <f>'Translate&amp;Prices&amp;Logo'!B647</f>
        <v>520408 SALICE AIR SOFT niklový závěs s adaptérem sada 2ks</v>
      </c>
    </row>
    <row r="6" spans="1:159">
      <c r="A6" t="str">
        <f>'Translate&amp;Prices&amp;Logo'!$B$11</f>
        <v>BRW brúsené - maximálna odporúčaná dĺžka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čierna matt - maximálna odporúčaná dĺžka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čierna brúsená - maximálna odporúčaná dĺžka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svetlá nerez (INOX ACIER gratta)- maximálna odporúčaná dĺžka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maximálna odporúčaná dĺžka profilu 2500 mm</v>
      </c>
      <c r="B10">
        <v>1</v>
      </c>
      <c r="C10" t="s">
        <v>651</v>
      </c>
      <c r="D10">
        <v>0</v>
      </c>
      <c r="M10" t="str">
        <f>'Translate&amp;Prices&amp;Logo'!B558</f>
        <v>horizontálne (termín dodania 4 týždne)</v>
      </c>
      <c r="N10">
        <f>IF(Ram_4!$H$9=kombinace_4!M10,1,0)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maximálna odporúčaná dĺžka profilu 2500 mm</v>
      </c>
      <c r="B11">
        <v>1</v>
      </c>
      <c r="C11" t="s">
        <v>651</v>
      </c>
      <c r="D11">
        <v>0</v>
      </c>
      <c r="M11" t="str">
        <f>'Translate&amp;Prices&amp;Logo'!B559</f>
        <v>Vertikálne (termín dodania 4 týždne)</v>
      </c>
      <c r="N11">
        <f>IF(Ram_4!$H$9=kombinace_4!M11,2,0)</f>
        <v>0</v>
      </c>
      <c r="AC11">
        <v>0</v>
      </c>
      <c r="AD11">
        <v>0</v>
      </c>
      <c r="AF11" t="s">
        <v>105</v>
      </c>
      <c r="AG11" t="s">
        <v>969</v>
      </c>
      <c r="AY11" t="s">
        <v>954</v>
      </c>
      <c r="AZ11" t="s">
        <v>1023</v>
      </c>
      <c r="BQ11" s="215" t="s">
        <v>2267</v>
      </c>
      <c r="BY11">
        <v>5</v>
      </c>
      <c r="CA11">
        <v>240</v>
      </c>
      <c r="CD11" t="str">
        <f>CONCATENATE('Translate&amp;Prices&amp;Logo'!B664,"_K12")</f>
        <v>dolný_K12</v>
      </c>
      <c r="CE11">
        <v>1</v>
      </c>
      <c r="CF11">
        <v>0</v>
      </c>
      <c r="DN11" t="s">
        <v>69</v>
      </c>
      <c r="DO11" s="2" t="s">
        <v>69</v>
      </c>
      <c r="ED11" t="s">
        <v>1658</v>
      </c>
      <c r="EE11" t="s">
        <v>1752</v>
      </c>
      <c r="ER11" t="s">
        <v>2159</v>
      </c>
      <c r="ES11" t="s">
        <v>2165</v>
      </c>
    </row>
    <row r="12" spans="1:159">
      <c r="A12" t="str">
        <f>'Translate&amp;Prices&amp;Logo'!$B$70</f>
        <v>BRW champagne light - maximálna odporúčaná dĺžka profilu 2500 mm</v>
      </c>
      <c r="B12">
        <v>1</v>
      </c>
      <c r="C12" t="s">
        <v>651</v>
      </c>
      <c r="D12">
        <v>0</v>
      </c>
      <c r="M12" t="str">
        <f>'Translate&amp;Prices&amp;Logo'!B560</f>
        <v>Horizontálne aj vertikálne (termín dodania 4 týždne)</v>
      </c>
      <c r="N12">
        <f>IF(Ram_4!$H$9=kombinace_4!M12,3,0)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maximálna odporúčaná dĺžka profilu 2500 mm</v>
      </c>
      <c r="B13">
        <v>1</v>
      </c>
      <c r="C13" t="s">
        <v>651</v>
      </c>
      <c r="D13">
        <v>0</v>
      </c>
      <c r="AC13">
        <v>0</v>
      </c>
      <c r="AD13">
        <v>0</v>
      </c>
      <c r="AF13" t="s">
        <v>105</v>
      </c>
      <c r="AG13" t="s">
        <v>972</v>
      </c>
      <c r="AY13" t="s">
        <v>954</v>
      </c>
      <c r="AZ13" t="s">
        <v>1025</v>
      </c>
      <c r="BQ13" s="216"/>
      <c r="BR13" t="s">
        <v>966</v>
      </c>
      <c r="BY13" t="str">
        <f>'Translate&amp;Prices&amp;Logo'!$B$558</f>
        <v>horizontálne (termín dodania 4 týždne)</v>
      </c>
      <c r="BZ13">
        <v>1</v>
      </c>
      <c r="CA13">
        <v>288</v>
      </c>
      <c r="CD13" t="str">
        <f>CONCATENATE('Translate&amp;Prices&amp;Logo'!B664,"_kraby")</f>
        <v>dolný_kraby</v>
      </c>
      <c r="CE13">
        <v>1</v>
      </c>
      <c r="CF13">
        <v>0</v>
      </c>
      <c r="DN13" t="s">
        <v>220</v>
      </c>
      <c r="DO13" s="2" t="s">
        <v>68</v>
      </c>
      <c r="ED13" t="s">
        <v>2511</v>
      </c>
      <c r="EE13" t="s">
        <v>2510</v>
      </c>
      <c r="ER13" t="s">
        <v>2161</v>
      </c>
      <c r="ES13" t="s">
        <v>2161</v>
      </c>
    </row>
    <row r="14" spans="1:159">
      <c r="A14" t="str">
        <f>'Translate&amp;Prices&amp;Logo'!$B$16</f>
        <v>BRW tmavá nerez brúsená (INOX LIJA) - maximálna odporúčaná dĺžka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Vertikálne (termín dodania 4 týždne)</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maximálna odporúčaná dĺžka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Horizontálne aj vertikálne (termín dodania 4 týždne)</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maximálna odporúčaná dĺžka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StrongLift_horný</v>
      </c>
      <c r="CE16">
        <v>1</v>
      </c>
      <c r="CF16">
        <v>1</v>
      </c>
      <c r="DN16" t="s">
        <v>284</v>
      </c>
      <c r="DO16" s="2" t="s">
        <v>68</v>
      </c>
      <c r="ED16" t="s">
        <v>1662</v>
      </c>
      <c r="EE16" t="s">
        <v>1756</v>
      </c>
      <c r="ER16" t="s">
        <v>2450</v>
      </c>
      <c r="ES16" t="s">
        <v>2450</v>
      </c>
      <c r="FC16" s="251"/>
    </row>
    <row r="17" spans="1:159">
      <c r="A17" t="str">
        <f>'Translate&amp;Prices&amp;Logo'!$B$55</f>
        <v>BRW zlatá brúsená - maximálna odporúčaná dĺžka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StrongLift_spodný</v>
      </c>
      <c r="CE17">
        <v>1</v>
      </c>
      <c r="CF17">
        <v>1</v>
      </c>
      <c r="DN17" t="s">
        <v>1244</v>
      </c>
      <c r="DO17" s="2" t="s">
        <v>69</v>
      </c>
      <c r="ED17" t="s">
        <v>1663</v>
      </c>
      <c r="EE17" t="s">
        <v>1757</v>
      </c>
      <c r="ER17" t="s">
        <v>2452</v>
      </c>
      <c r="ES17" t="s">
        <v>2452</v>
      </c>
      <c r="FC17" s="251"/>
    </row>
    <row r="18" spans="1:159">
      <c r="A18" t="str">
        <f>'Translate&amp;Prices&amp;Logo'!$B$17</f>
        <v>Corleone (elox.) - maximálna odporúčaná dĺžka profilu 1500 mm</v>
      </c>
      <c r="B18">
        <v>2</v>
      </c>
      <c r="C18" t="s">
        <v>651</v>
      </c>
      <c r="D18">
        <v>0</v>
      </c>
      <c r="E18">
        <v>3</v>
      </c>
      <c r="F18" t="str">
        <f>'Translate&amp;Prices&amp;Logo'!$B$80</f>
        <v>Rocca elox (Vľavo a vpravo) + Varna elox (Hore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čierne mat - maximálna odporúčaná dĺžka profilu 1500 mm</v>
      </c>
      <c r="B19">
        <v>2</v>
      </c>
      <c r="C19" t="s">
        <v>651</v>
      </c>
      <c r="D19">
        <v>0</v>
      </c>
      <c r="F19" t="str">
        <f>'Translate&amp;Prices&amp;Logo'!$B$81</f>
        <v>Rocca čierna (Vľavo a vpravo) + Varna čierna (Hore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čierna mat - maximálna odporúčaná dĺžka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maximálna odporúčaná dĺžka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maximálna odporúčaná dĺžka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čierna mat - maximálna odporúčaná dĺžka profilu 2500 mm</v>
      </c>
      <c r="B23">
        <v>2</v>
      </c>
      <c r="C23" t="s">
        <v>998</v>
      </c>
      <c r="D23">
        <v>0</v>
      </c>
      <c r="AA23" t="s">
        <v>966</v>
      </c>
      <c r="AB23" t="e">
        <f>IF(Ram_4!AU7=2,"FREEspace","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biela matt RAL 9003 - maximálna odporúčaná dĺžka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maximálna odporúčaná dĺžka profilu 2150 mm</v>
      </c>
      <c r="B25">
        <v>2</v>
      </c>
      <c r="C25" t="s">
        <v>998</v>
      </c>
      <c r="D25">
        <v>0</v>
      </c>
      <c r="AF25" t="s">
        <v>105</v>
      </c>
      <c r="AG25" t="s">
        <v>980</v>
      </c>
      <c r="ED25" t="s">
        <v>1671</v>
      </c>
      <c r="EE25" t="s">
        <v>3259</v>
      </c>
      <c r="ER25" t="s">
        <v>2171</v>
      </c>
      <c r="ES25" t="s">
        <v>2171</v>
      </c>
    </row>
    <row r="26" spans="1:159">
      <c r="A26" t="str">
        <f>'Translate&amp;Prices&amp;Logo'!$B$22</f>
        <v>Modena (elox.) - maximálna odporúčaná dĺžka profilu 2500 mm</v>
      </c>
      <c r="B26">
        <v>2</v>
      </c>
      <c r="C26" t="s">
        <v>651</v>
      </c>
      <c r="D26">
        <v>0</v>
      </c>
      <c r="AF26" t="s">
        <v>106</v>
      </c>
      <c r="AG26" t="s">
        <v>980</v>
      </c>
      <c r="ED26" t="s">
        <v>1672</v>
      </c>
      <c r="EE26" t="s">
        <v>3260</v>
      </c>
      <c r="ER26" t="s">
        <v>2172</v>
      </c>
      <c r="ES26" t="s">
        <v>2172</v>
      </c>
    </row>
    <row r="27" spans="1:159">
      <c r="A27" t="str">
        <f>'Translate&amp;Prices&amp;Logo'!$B$23</f>
        <v>Modena čierna matt - maximálna odporúčaná dĺžka profilu 2500 mm</v>
      </c>
      <c r="B27">
        <v>2</v>
      </c>
      <c r="C27" t="s">
        <v>651</v>
      </c>
      <c r="D27">
        <v>0</v>
      </c>
      <c r="AF27" t="s">
        <v>105</v>
      </c>
      <c r="AG27" t="s">
        <v>981</v>
      </c>
      <c r="ED27" t="s">
        <v>1673</v>
      </c>
      <c r="EE27" t="s">
        <v>3262</v>
      </c>
      <c r="ER27" t="s">
        <v>2173</v>
      </c>
      <c r="ES27" t="s">
        <v>2173</v>
      </c>
    </row>
    <row r="28" spans="1:159">
      <c r="A28" t="str">
        <f>'Translate&amp;Prices&amp;Logo'!$B$25</f>
        <v>Modena čierna brúsená - maximálna odporúčaná dĺžka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brúsená LIJA - maximálna odporúčaná dĺžka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maximálna odporúčaná dĺžka profilu 2500 mm</v>
      </c>
      <c r="B30">
        <v>2</v>
      </c>
      <c r="C30" t="s">
        <v>651</v>
      </c>
      <c r="D30">
        <v>0</v>
      </c>
      <c r="AA30" t="s">
        <v>976</v>
      </c>
      <c r="AB30" t="str">
        <f>CONCATENATE('Translate&amp;Prices&amp;Logo'!B664,"_K12")</f>
        <v>dolný_K12</v>
      </c>
      <c r="AC30">
        <v>1</v>
      </c>
      <c r="AD30">
        <v>0</v>
      </c>
      <c r="AF30" t="s">
        <v>106</v>
      </c>
      <c r="AG30" t="s">
        <v>982</v>
      </c>
      <c r="ED30" t="s">
        <v>1676</v>
      </c>
      <c r="EE30" t="s">
        <v>3265</v>
      </c>
      <c r="ER30" t="s">
        <v>2463</v>
      </c>
      <c r="ES30" t="s">
        <v>2463</v>
      </c>
    </row>
    <row r="31" spans="1:159">
      <c r="A31" t="str">
        <f>'Translate&amp;Prices&amp;Logo'!$B$29</f>
        <v>Pisa (elox.) - maximálna odporúčaná dĺžka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biela mat RAL 9003 - maximálna odporúčaná dĺžka profilu 2500 mm</v>
      </c>
      <c r="B32">
        <v>2</v>
      </c>
      <c r="C32" t="s">
        <v>998</v>
      </c>
      <c r="D32">
        <v>0</v>
      </c>
      <c r="AA32" t="s">
        <v>976</v>
      </c>
      <c r="AB32" t="str">
        <f>CONCATENATE('Translate&amp;Prices&amp;Logo'!B664,"_kraby")</f>
        <v>dolný_kraby</v>
      </c>
      <c r="AC32">
        <v>1</v>
      </c>
      <c r="AD32">
        <v>0</v>
      </c>
      <c r="AF32" t="s">
        <v>106</v>
      </c>
      <c r="AG32" t="s">
        <v>983</v>
      </c>
      <c r="BY32" t="str">
        <f>'Translate&amp;Prices&amp;Logo'!$B$230</f>
        <v>Vľavo</v>
      </c>
      <c r="BZ32" t="str">
        <f>'Translate&amp;Prices&amp;Logo'!$B$589</f>
        <v>(Spodného)</v>
      </c>
      <c r="CA32" t="str">
        <f>'Translate&amp;Prices&amp;Logo'!$B$591</f>
        <v>(Horného)</v>
      </c>
      <c r="CC32" t="str">
        <f>'Translate&amp;Prices&amp;Logo'!$O$589</f>
        <v>(dolnej)</v>
      </c>
      <c r="CD32" t="str">
        <f>'Translate&amp;Prices&amp;Logo'!$O$591</f>
        <v>(górnej)</v>
      </c>
      <c r="ED32" t="s">
        <v>1678</v>
      </c>
      <c r="EE32" t="s">
        <v>3267</v>
      </c>
      <c r="ER32" t="s">
        <v>2465</v>
      </c>
      <c r="ES32" t="s">
        <v>2465</v>
      </c>
    </row>
    <row r="33" spans="1:149">
      <c r="A33" t="str">
        <f>'Translate&amp;Prices&amp;Logo'!$B$53</f>
        <v>Pisa biela lesk RAL 9003 - maximálna odporúčaná dĺžka profilu 2500 mm</v>
      </c>
      <c r="B33">
        <v>2</v>
      </c>
      <c r="C33" t="s">
        <v>998</v>
      </c>
      <c r="D33">
        <v>0</v>
      </c>
      <c r="AA33" t="s">
        <v>976</v>
      </c>
      <c r="AB33" t="s">
        <v>980</v>
      </c>
      <c r="AC33">
        <v>1</v>
      </c>
      <c r="AD33">
        <v>0</v>
      </c>
      <c r="AF33" t="s">
        <v>105</v>
      </c>
      <c r="AG33" t="s">
        <v>985</v>
      </c>
      <c r="BY33" t="str">
        <f>'Translate&amp;Prices&amp;Logo'!$B$229</f>
        <v>Vpravo</v>
      </c>
      <c r="BZ33" t="str">
        <f>'Translate&amp;Prices&amp;Logo'!$B$589</f>
        <v>(Spodného)</v>
      </c>
      <c r="CA33" t="str">
        <f>'Translate&amp;Prices&amp;Logo'!$B$591</f>
        <v>(Horného)</v>
      </c>
      <c r="CC33" t="str">
        <f>'Translate&amp;Prices&amp;Logo'!$O$589</f>
        <v>(dolnej)</v>
      </c>
      <c r="CD33" t="str">
        <f>'Translate&amp;Prices&amp;Logo'!$O$591</f>
        <v>(górnej)</v>
      </c>
      <c r="ED33" t="s">
        <v>1679</v>
      </c>
      <c r="EE33" t="s">
        <v>3268</v>
      </c>
      <c r="ER33" t="s">
        <v>2466</v>
      </c>
      <c r="ES33" t="s">
        <v>2466</v>
      </c>
    </row>
    <row r="34" spans="1:149">
      <c r="A34" t="str">
        <f>'Translate&amp;Prices&amp;Logo'!$B$30</f>
        <v>Pisa čierna matt - maximálna odporúčaná dĺžka profilu 2500 mm</v>
      </c>
      <c r="B34">
        <v>2</v>
      </c>
      <c r="C34" t="s">
        <v>998</v>
      </c>
      <c r="D34">
        <v>0</v>
      </c>
      <c r="AA34" t="s">
        <v>976</v>
      </c>
      <c r="AB34" t="s">
        <v>981</v>
      </c>
      <c r="AC34">
        <v>1</v>
      </c>
      <c r="AD34">
        <v>0</v>
      </c>
      <c r="AF34" t="s">
        <v>106</v>
      </c>
      <c r="AG34" t="s">
        <v>985</v>
      </c>
      <c r="BY34" t="str">
        <f>'Translate&amp;Prices&amp;Logo'!$B$227</f>
        <v>Navrchu</v>
      </c>
      <c r="BZ34" t="str">
        <f>'Translate&amp;Prices&amp;Logo'!$B$590</f>
        <v>(Ľavého)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maximálna odporúčaná dĺžka profilu 2150 mm</v>
      </c>
      <c r="B35">
        <v>2</v>
      </c>
      <c r="C35" t="s">
        <v>998</v>
      </c>
      <c r="D35">
        <v>0</v>
      </c>
      <c r="BY35" t="str">
        <f>'Translate&amp;Prices&amp;Logo'!$B$228</f>
        <v>Dole</v>
      </c>
      <c r="BZ35" t="str">
        <f>'Translate&amp;Prices&amp;Logo'!$B$590</f>
        <v>(Ľavého)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maximálna odporúčaná dĺžka profilu 2150 mm</v>
      </c>
      <c r="B36">
        <v>1</v>
      </c>
      <c r="C36" t="s">
        <v>651</v>
      </c>
      <c r="D36">
        <v>0</v>
      </c>
      <c r="ED36" t="s">
        <v>1620</v>
      </c>
      <c r="EE36" t="s">
        <v>1776</v>
      </c>
      <c r="ER36" t="s">
        <v>2176</v>
      </c>
      <c r="ES36" t="s">
        <v>2176</v>
      </c>
    </row>
    <row r="37" spans="1:149">
      <c r="A37" t="str">
        <f>'Translate&amp;Prices&amp;Logo'!$B$42</f>
        <v>Rocca čierna mat - maximálna odporúčaná dĺžka profilu 2150 mm</v>
      </c>
      <c r="B37">
        <v>1</v>
      </c>
      <c r="C37" t="s">
        <v>651</v>
      </c>
      <c r="D37">
        <v>0</v>
      </c>
      <c r="BY37" t="s">
        <v>1332</v>
      </c>
      <c r="ED37" t="s">
        <v>1621</v>
      </c>
      <c r="EE37" t="s">
        <v>1777</v>
      </c>
      <c r="ER37" t="s">
        <v>2219</v>
      </c>
      <c r="ES37" t="s">
        <v>2213</v>
      </c>
    </row>
    <row r="38" spans="1:149">
      <c r="A38" t="str">
        <f>'Translate&amp;Prices&amp;Logo'!$B$63</f>
        <v>Treviso čierna matt - maximálna odporúčaná dĺžka profilu 2750 mm</v>
      </c>
      <c r="B38">
        <v>1</v>
      </c>
      <c r="C38" t="s">
        <v>651</v>
      </c>
      <c r="D38">
        <v>0</v>
      </c>
      <c r="ED38" t="s">
        <v>1622</v>
      </c>
      <c r="EE38" t="s">
        <v>1778</v>
      </c>
      <c r="ER38" t="s">
        <v>2220</v>
      </c>
      <c r="ES38" t="s">
        <v>2214</v>
      </c>
    </row>
    <row r="39" spans="1:149">
      <c r="A39" t="str">
        <f>'Translate&amp;Prices&amp;Logo'!$B$34</f>
        <v>Verona (elox.) - maximálna odporúčaná dĺžka profilu 2500 mm</v>
      </c>
      <c r="B39">
        <v>1</v>
      </c>
      <c r="C39" t="s">
        <v>651</v>
      </c>
      <c r="D39">
        <v>0</v>
      </c>
      <c r="AA39" t="s">
        <v>2504</v>
      </c>
      <c r="AB39" t="s">
        <v>2502</v>
      </c>
      <c r="ED39" t="s">
        <v>1623</v>
      </c>
      <c r="EE39" t="s">
        <v>1779</v>
      </c>
      <c r="ER39" t="s">
        <v>2221</v>
      </c>
      <c r="ES39" t="s">
        <v>2215</v>
      </c>
    </row>
    <row r="40" spans="1:149">
      <c r="A40" t="str">
        <f>'Translate&amp;Prices&amp;Logo'!$B$35</f>
        <v>Verona brúsená - maximálna odporúčaná dĺžka profilu 2500 mm</v>
      </c>
      <c r="B40">
        <v>1</v>
      </c>
      <c r="C40" t="s">
        <v>651</v>
      </c>
      <c r="D40">
        <v>0</v>
      </c>
      <c r="AA40" t="s">
        <v>2504</v>
      </c>
      <c r="AB40" t="str">
        <f>'Translate&amp;Prices&amp;Logo'!B659</f>
        <v>StrongLift_horný</v>
      </c>
      <c r="AC40">
        <v>1</v>
      </c>
      <c r="AD40">
        <v>0</v>
      </c>
      <c r="ED40" t="s">
        <v>1624</v>
      </c>
      <c r="EE40" t="s">
        <v>1780</v>
      </c>
      <c r="ER40" t="s">
        <v>2222</v>
      </c>
      <c r="ES40" t="s">
        <v>2216</v>
      </c>
    </row>
    <row r="41" spans="1:149">
      <c r="A41" t="str">
        <f>'Translate&amp;Prices&amp;Logo'!$B$37</f>
        <v>Verona čierna mat - maximálna odporúčaná dĺžka profilu 2500 mm</v>
      </c>
      <c r="B41">
        <v>1</v>
      </c>
      <c r="C41" t="s">
        <v>651</v>
      </c>
      <c r="D41">
        <v>0</v>
      </c>
      <c r="AB41" t="str">
        <f>'Translate&amp;Prices&amp;Logo'!B660</f>
        <v>StrongLift_spodný</v>
      </c>
      <c r="AC41">
        <v>1</v>
      </c>
      <c r="AD41">
        <v>0</v>
      </c>
      <c r="ED41" t="s">
        <v>1625</v>
      </c>
      <c r="EE41" t="s">
        <v>1781</v>
      </c>
      <c r="ER41" t="s">
        <v>2223</v>
      </c>
      <c r="ES41" t="s">
        <v>2217</v>
      </c>
    </row>
    <row r="42" spans="1:149">
      <c r="A42" t="str">
        <f>'Translate&amp;Prices&amp;Logo'!$B$36</f>
        <v>Verona čierna lesk - maximálna odporúčaná dĺžka profilu 2500 mm</v>
      </c>
      <c r="B42">
        <v>1</v>
      </c>
      <c r="C42" t="s">
        <v>651</v>
      </c>
      <c r="D42">
        <v>0</v>
      </c>
      <c r="AA42" t="s">
        <v>2086</v>
      </c>
      <c r="AB42" t="s">
        <v>1010</v>
      </c>
      <c r="ED42" t="s">
        <v>1626</v>
      </c>
      <c r="EE42" t="s">
        <v>1782</v>
      </c>
      <c r="ER42" t="s">
        <v>2224</v>
      </c>
      <c r="ES42" t="s">
        <v>2218</v>
      </c>
    </row>
    <row r="43" spans="1:149">
      <c r="A43" t="str">
        <f>'Translate&amp;Prices&amp;Logo'!$B$38</f>
        <v>Verona hnědá - maximálna odporúčaná dĺžka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maximálna odporúčaná dĺžka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nerez brúsená - maximálna odporúčaná dĺžka profilu 2500 mm</v>
      </c>
      <c r="B45">
        <v>1</v>
      </c>
      <c r="C45" t="s">
        <v>651</v>
      </c>
      <c r="D45">
        <v>0</v>
      </c>
      <c r="AB45" t="s">
        <v>1111</v>
      </c>
      <c r="AC45">
        <v>0</v>
      </c>
      <c r="AD45">
        <v>0</v>
      </c>
      <c r="ED45" t="s">
        <v>1629</v>
      </c>
      <c r="EE45" t="s">
        <v>1785</v>
      </c>
      <c r="ER45" t="s">
        <v>2243</v>
      </c>
      <c r="ES45" t="s">
        <v>2237</v>
      </c>
    </row>
    <row r="46" spans="1:149">
      <c r="A46" t="str">
        <f>'Translate&amp;Prices&amp;Logo'!$B$41</f>
        <v>Verona svetlá nerez brúsená Acier - maximálna odporúčaná dĺžka profilu 2500 mm</v>
      </c>
      <c r="B46">
        <v>1</v>
      </c>
      <c r="C46" t="s">
        <v>651</v>
      </c>
      <c r="D46">
        <v>0</v>
      </c>
      <c r="ED46" t="s">
        <v>1630</v>
      </c>
      <c r="EE46" t="s">
        <v>1786</v>
      </c>
      <c r="ER46" t="s">
        <v>2244</v>
      </c>
      <c r="ES46" t="s">
        <v>2238</v>
      </c>
    </row>
    <row r="47" spans="1:149">
      <c r="A47" t="str">
        <f>'Translate&amp;Prices&amp;Logo'!$B$62</f>
        <v>Verona Ivory mat - maximálna odporúčaná dĺžka profilu 2150 mm</v>
      </c>
      <c r="B47">
        <v>1</v>
      </c>
      <c r="C47" t="s">
        <v>651</v>
      </c>
      <c r="D47">
        <v>0</v>
      </c>
      <c r="ED47" t="s">
        <v>1631</v>
      </c>
      <c r="EE47" t="s">
        <v>1787</v>
      </c>
      <c r="ER47" t="s">
        <v>2245</v>
      </c>
      <c r="ES47" t="s">
        <v>2239</v>
      </c>
    </row>
    <row r="48" spans="1:149">
      <c r="A48" t="str">
        <f>'Translate&amp;Prices&amp;Logo'!$B$65</f>
        <v>Verona kašmír - maximálna odporúčaná dĺžka profilu 2150 mm</v>
      </c>
      <c r="B48">
        <v>1</v>
      </c>
      <c r="C48" t="s">
        <v>651</v>
      </c>
      <c r="D48">
        <v>0</v>
      </c>
      <c r="ED48" t="s">
        <v>1632</v>
      </c>
      <c r="EE48" t="s">
        <v>1788</v>
      </c>
      <c r="ER48" t="s">
        <v>2246</v>
      </c>
      <c r="ES48" t="s">
        <v>2240</v>
      </c>
    </row>
    <row r="49" spans="1:149">
      <c r="A49" t="str">
        <f>'Translate&amp;Prices&amp;Logo'!$B$24</f>
        <v>Verona zlatá - maximálna odporúčaná dĺžka profilu 2150 mm</v>
      </c>
      <c r="B49">
        <v>1</v>
      </c>
      <c r="C49" t="s">
        <v>651</v>
      </c>
      <c r="D49">
        <v>0</v>
      </c>
      <c r="AA49" t="s">
        <v>2087</v>
      </c>
      <c r="AB49" t="s">
        <v>2089</v>
      </c>
      <c r="ED49" t="s">
        <v>1633</v>
      </c>
      <c r="EE49" t="s">
        <v>1789</v>
      </c>
      <c r="ER49" t="s">
        <v>2247</v>
      </c>
      <c r="ES49" t="s">
        <v>2241</v>
      </c>
    </row>
    <row r="50" spans="1:149">
      <c r="A50" t="str">
        <f>'Translate&amp;Prices&amp;Logo'!$B$56</f>
        <v>Verona zlatá brúsená - maximálna odporúčaná dĺžka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maximálna odporúčaná dĺžka profilu 2500 mm</v>
      </c>
      <c r="B51">
        <v>2</v>
      </c>
      <c r="C51" t="s">
        <v>651</v>
      </c>
      <c r="D51">
        <v>1</v>
      </c>
      <c r="AB51" t="s">
        <v>2380</v>
      </c>
      <c r="AC51">
        <v>0</v>
      </c>
      <c r="AD51">
        <v>0</v>
      </c>
      <c r="ED51" t="s">
        <v>1635</v>
      </c>
      <c r="EE51" t="s">
        <v>1791</v>
      </c>
      <c r="ER51" t="s">
        <v>2477</v>
      </c>
      <c r="ES51" t="s">
        <v>2469</v>
      </c>
    </row>
    <row r="52" spans="1:149">
      <c r="A52" t="str">
        <f>'Translate&amp;Prices&amp;Logo'!$B$44</f>
        <v>Vivaro čierne mat - maximálna odporúčaná dĺžka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maximálna odporúčaná dĺžka profilu 2500 mm</v>
      </c>
      <c r="B53">
        <v>2</v>
      </c>
      <c r="C53" t="s">
        <v>651</v>
      </c>
      <c r="D53">
        <v>0</v>
      </c>
      <c r="AB53" t="s">
        <v>2376</v>
      </c>
      <c r="AC53">
        <v>0</v>
      </c>
      <c r="AD53">
        <v>0</v>
      </c>
      <c r="ED53" t="s">
        <v>1637</v>
      </c>
      <c r="EE53" t="s">
        <v>1793</v>
      </c>
      <c r="ER53" t="s">
        <v>2479</v>
      </c>
      <c r="ES53" t="s">
        <v>2471</v>
      </c>
    </row>
    <row r="54" spans="1:149">
      <c r="A54" t="str">
        <f>'Translate&amp;Prices&amp;Logo'!$B$47</f>
        <v>Vivaro biela matt RAL 9003 - maximálna odporúčaná dĺžka profilu 2500 mm</v>
      </c>
      <c r="B54">
        <v>2</v>
      </c>
      <c r="C54" t="s">
        <v>651</v>
      </c>
      <c r="D54">
        <v>0</v>
      </c>
      <c r="ED54" t="s">
        <v>1638</v>
      </c>
      <c r="EE54" t="s">
        <v>1794</v>
      </c>
      <c r="ER54" t="s">
        <v>2480</v>
      </c>
      <c r="ES54" t="s">
        <v>2472</v>
      </c>
    </row>
    <row r="55" spans="1:149">
      <c r="A55" t="str">
        <f>'Translate&amp;Prices&amp;Logo'!$B$48</f>
        <v>Vivaro biela lesk RAL 9003 - maximálna odporúčaná dĺžka profilu 2500 mm</v>
      </c>
      <c r="B55">
        <v>2</v>
      </c>
      <c r="C55" t="s">
        <v>651</v>
      </c>
      <c r="D55">
        <v>0</v>
      </c>
      <c r="ED55" t="s">
        <v>1639</v>
      </c>
      <c r="EE55" t="s">
        <v>1795</v>
      </c>
      <c r="ER55" t="s">
        <v>2481</v>
      </c>
      <c r="ES55" t="s">
        <v>2473</v>
      </c>
    </row>
    <row r="56" spans="1:149">
      <c r="A56" t="str">
        <f>'Translate&amp;Prices&amp;Logo'!$B$31</f>
        <v>Vivaro zlatá - maximálna odporúčaná dĺžka profilu 2150 mm</v>
      </c>
      <c r="B56">
        <v>2</v>
      </c>
      <c r="C56" t="s">
        <v>651</v>
      </c>
      <c r="D56">
        <v>1</v>
      </c>
      <c r="ED56" t="s">
        <v>1640</v>
      </c>
      <c r="EE56" t="s">
        <v>1796</v>
      </c>
      <c r="ER56" t="s">
        <v>2482</v>
      </c>
      <c r="ES56" t="s">
        <v>2474</v>
      </c>
    </row>
    <row r="57" spans="1:149">
      <c r="A57" t="str">
        <f>'Translate&amp;Prices&amp;Logo'!$B$57</f>
        <v>Vivaro zlatá brúsená - maximálna odporúčaná dĺžka profilu 2150 mm</v>
      </c>
      <c r="B57">
        <v>2</v>
      </c>
      <c r="C57" t="s">
        <v>651</v>
      </c>
      <c r="D57">
        <v>0</v>
      </c>
      <c r="ED57" t="s">
        <v>1641</v>
      </c>
      <c r="EE57" t="s">
        <v>1797</v>
      </c>
      <c r="ER57" t="s">
        <v>2225</v>
      </c>
      <c r="ES57" t="s">
        <v>2213</v>
      </c>
    </row>
    <row r="58" spans="1:149">
      <c r="A58" t="str">
        <f>'Translate&amp;Prices&amp;Logo'!$B$80</f>
        <v>Rocca elox (Vľavo a vpravo) + Varna elox (Hore a dole)</v>
      </c>
      <c r="B58">
        <v>3</v>
      </c>
      <c r="C58" t="s">
        <v>651</v>
      </c>
      <c r="D58">
        <v>0</v>
      </c>
      <c r="ED58" t="s">
        <v>1642</v>
      </c>
      <c r="EE58" t="s">
        <v>1798</v>
      </c>
      <c r="ER58" t="s">
        <v>2226</v>
      </c>
      <c r="ES58" t="s">
        <v>2214</v>
      </c>
    </row>
    <row r="59" spans="1:149">
      <c r="A59" t="str">
        <f>'Translate&amp;Prices&amp;Logo'!$B$81</f>
        <v>Rocca čierna (Vľavo a vpravo) + Varna čierna (Hore a dole)</v>
      </c>
      <c r="B59">
        <v>3</v>
      </c>
      <c r="C59" t="s">
        <v>651</v>
      </c>
      <c r="D59">
        <v>0</v>
      </c>
      <c r="AA59" t="s">
        <v>2088</v>
      </c>
      <c r="AB59" t="s">
        <v>2090</v>
      </c>
      <c r="ED59" t="s">
        <v>1643</v>
      </c>
      <c r="EE59" t="s">
        <v>1799</v>
      </c>
      <c r="ER59" t="s">
        <v>2227</v>
      </c>
      <c r="ES59" t="s">
        <v>2215</v>
      </c>
    </row>
    <row r="60" spans="1:149">
      <c r="A60" t="str">
        <f>'Translate&amp;Prices&amp;Logo'!$B$71</f>
        <v>ROMA čierna mat - maximálna odporúčaná dĺžka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maximálna odporúčaná dĺžka profilu 2696 mm</v>
      </c>
      <c r="B61">
        <v>1</v>
      </c>
      <c r="C61" t="s">
        <v>651</v>
      </c>
      <c r="D61">
        <v>0</v>
      </c>
      <c r="AB61" t="s">
        <v>970</v>
      </c>
      <c r="AC61">
        <v>0</v>
      </c>
      <c r="AD61">
        <v>0</v>
      </c>
      <c r="ED61" t="s">
        <v>1645</v>
      </c>
      <c r="EE61" t="s">
        <v>1801</v>
      </c>
      <c r="ER61" t="s">
        <v>2229</v>
      </c>
      <c r="ES61" t="s">
        <v>2217</v>
      </c>
    </row>
    <row r="62" spans="1:149">
      <c r="A62" t="str">
        <f>'Translate&amp;Prices&amp;Logo'!$B$73</f>
        <v>ROMA GRIP čierna mat - maximálna odporúčaná dĺžka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maximálna odporúčaná dĺžka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maximálna odporúčaná dĺžka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"&amp;5</f>
        <v>Rámček  5</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IFERROR(IF(kombinace_5!FC2=TRUE,'Translate&amp;Prices&amp;Logo'!B654,IF(VLOOKUP(H8,kombinace_5!$A:$E,5,0)=3,'Translate&amp;Prices&amp;Logo'!B642,"")),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Rámček  1</v>
      </c>
      <c r="C5" s="634"/>
      <c r="D5" s="634"/>
      <c r="E5" s="106"/>
      <c r="F5" s="634" t="str">
        <f>'Translate&amp;Prices&amp;Logo'!$B$169&amp;" "&amp;" "&amp;2</f>
        <v>Rámček  2</v>
      </c>
      <c r="G5" s="634"/>
      <c r="H5" s="634"/>
      <c r="I5" s="9"/>
      <c r="J5" s="634" t="str">
        <f>'Translate&amp;Prices&amp;Logo'!$B$169&amp;" "&amp;" "&amp;3</f>
        <v>Rámček  3</v>
      </c>
      <c r="K5" s="634"/>
      <c r="L5" s="634"/>
      <c r="M5" s="9"/>
      <c r="N5" s="634" t="str">
        <f>'Translate&amp;Prices&amp;Logo'!$B$169&amp;" "&amp;" "&amp;4</f>
        <v>Rámček  4</v>
      </c>
      <c r="O5" s="634"/>
      <c r="P5" s="634"/>
      <c r="Q5" s="9"/>
      <c r="R5" s="634" t="str">
        <f>'Translate&amp;Prices&amp;Logo'!$B$169&amp;" "&amp;" "&amp;5</f>
        <v>Rámček  5</v>
      </c>
      <c r="S5" s="634"/>
      <c r="T5" s="634"/>
      <c r="U5" s="9"/>
      <c r="V5" s="634" t="str">
        <f>'Translate&amp;Prices&amp;Logo'!$B$169&amp;" "&amp;" "&amp;6</f>
        <v>Rámček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Kombinácia 2 profilov</v>
      </c>
      <c r="C7" s="667"/>
      <c r="D7" s="667"/>
      <c r="E7" s="667"/>
      <c r="F7" s="667"/>
      <c r="G7" s="616" t="str">
        <f>IF(kombinace_5!FC2=TRUE,AB4,"")</f>
        <v/>
      </c>
      <c r="H7" s="616"/>
      <c r="I7" s="616"/>
      <c r="J7" s="616"/>
      <c r="K7" s="616"/>
      <c r="L7" s="616"/>
      <c r="M7" s="616"/>
      <c r="N7" s="616"/>
      <c r="O7" s="616"/>
      <c r="P7" s="616"/>
      <c r="Q7" s="617"/>
      <c r="R7" s="231"/>
      <c r="S7" s="602" t="str">
        <f>'Translate&amp;Prices&amp;Logo'!$B$572</f>
        <v>Upozornenie: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VLOOKUP(H8,kombinace_5!$A3:$B100,2,0)</f>
        <v>#N/A</v>
      </c>
      <c r="AV7" s="140" t="e">
        <f>IF(AU7=2,"Široký",IF(AU7=1,"Úzký",IF(AU7=3,"kombo")))</f>
        <v>#N/A</v>
      </c>
    </row>
    <row r="8" spans="1:65" ht="45.6" customHeight="1">
      <c r="A8" s="61"/>
      <c r="B8" s="223" t="str">
        <f>'Translate&amp;Prices&amp;Logo'!$B$653</f>
        <v>Výplň rámčeka sieťka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IF(AU10&gt;0,'Translate&amp;Prices&amp;Logo'!B303,IF(H8=kombinace_5!A59,'Translate&amp;Prices&amp;Logo'!B580,0))</f>
        <v>0</v>
      </c>
      <c r="T8" s="654"/>
      <c r="U8" s="654"/>
      <c r="V8" s="654"/>
      <c r="W8" s="654"/>
      <c r="X8" s="654"/>
      <c r="Y8" s="655"/>
      <c r="Z8" s="80"/>
      <c r="AA8" s="76"/>
      <c r="AB8" s="9"/>
      <c r="AC8" s="584" t="str">
        <f>'Translate&amp;Prices&amp;Logo'!$B$242</f>
        <v>Vzdialenosť od ľavého kraja</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IFERROR(IF(AND(VLOOKUP(H8,kombinace_5!$A:$D,4,0)=1,kombinace_5!FC2=FALSE),'Translate&amp;Prices&amp;Logo'!$B$543,0),0)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IFERROR((VLOOKUP(H12,kombinace_5!$DP$2:$DQ$3,2,0)),"")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Vzdialenosť od horného okraja</v>
      </c>
      <c r="AF10" s="9"/>
      <c r="AG10" s="9"/>
      <c r="AH10" s="9"/>
      <c r="AI10" s="60"/>
      <c r="AJ10" s="61"/>
      <c r="AK10" s="9"/>
      <c r="AL10" s="9"/>
      <c r="AM10" s="9"/>
      <c r="AN10" s="9"/>
      <c r="AO10" s="9"/>
      <c r="AP10" s="77"/>
      <c r="AQ10" s="314"/>
      <c r="AR10" s="9"/>
      <c r="AS10" s="9"/>
      <c r="AT10" s="139" t="s">
        <v>1196</v>
      </c>
      <c r="AU10" s="140">
        <f>IFERROR(VLOOKUP(H9,kombinace_5!$BY$13:$BZ$15,2,0),0)</f>
        <v>0</v>
      </c>
      <c r="AV10" s="140"/>
    </row>
    <row r="11" spans="1:65" ht="18" customHeight="1">
      <c r="A11" s="61"/>
      <c r="B11" s="642" t="str">
        <f>('Translate&amp;Prices&amp;Logo'!$B$543)&amp;" "&amp;"("&amp;'Translate&amp;Prices&amp;Logo'!$B$174&amp;")"</f>
        <v>Deliace lišty (Počet kusov)</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IFERROR(IF(kombinace_5!$H$1=TRUE,BA2+AY3,0),0)</f>
        <v>0</v>
      </c>
      <c r="AU11" s="146"/>
      <c r="AV11" s="140"/>
    </row>
    <row r="12" spans="1:65" ht="18" customHeight="1">
      <c r="A12" s="61"/>
      <c r="B12" s="585" t="str">
        <f>'Translate&amp;Prices&amp;Logo'!$B$258</f>
        <v>Typ kovania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kovania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 kovania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IF(H15=kombinace_5!AB40,'Translate&amp;Prices&amp;Logo'!$B$224,IF(H15=kombinace_5!AB41,'Translate&amp;Prices&amp;Logo'!$B$224,IF(H12='závěsy dle výklopu'!BQ2,'Translate&amp;Prices&amp;Logo'!$B$222,'Translate&amp;Prices&amp;Logo'!$B$218)))</f>
        <v>Výber pozície rámčeku</v>
      </c>
      <c r="C16" s="641"/>
      <c r="D16" s="641"/>
      <c r="E16" s="641"/>
      <c r="F16" s="639"/>
      <c r="G16" s="639"/>
      <c r="H16" s="639"/>
      <c r="I16" s="639"/>
      <c r="J16" s="659" t="str">
        <f>IF(OR(H15=kombinace_5!AB40,H15=kombinace_5!AB7,H15=kombinace_5!AB15,H15=kombinace_5!AB20,H15=kombinace_5!AB21,H15=kombinace_5!AB22),'Translate&amp;Prices&amp;Logo'!$B$226,IF(H15=kombinace_5!AB41,'Translate&amp;Prices&amp;Logo'!$B$226,'Translate&amp;Prices&amp;Logo'!$B$232))</f>
        <v>Vyhotovenie druhého dvierka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IF(H12='Translate&amp;Prices&amp;Logo'!B551,'Translate&amp;Prices&amp;Logo'!B238,IF(H15=kombinace_5!AB8,'Translate&amp;Prices&amp;Logo'!B284,0))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85">
        <f>IFERROR(IF(VLOOKUP(H15,kombinace_5!CD:CE,2,0)=1,'Translate&amp;Prices&amp;Logo'!$B$547,0),0)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IFERROR(IF(H12='Translate&amp;Prices&amp;Logo'!B551,'Translate&amp;Prices&amp;Logo'!$B$223,IF(VLOOKUP(H15,kombinace_5!CD:CE,2,0)=1,'Translate&amp;Prices&amp;Logo'!$B$223,)),0)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Vzdialenosť od spodného okraja</v>
      </c>
      <c r="AM19" s="629"/>
      <c r="AN19" s="620">
        <v>0</v>
      </c>
      <c r="AO19" s="620"/>
      <c r="AP19" s="76"/>
      <c r="AQ19" s="314"/>
      <c r="AR19" s="675" t="str">
        <f>'Translate&amp;Prices&amp;Logo'!$B$176</f>
        <v>Výška</v>
      </c>
      <c r="AS19" s="9"/>
      <c r="AT19" s="146"/>
      <c r="AU19" s="138">
        <f>IFERROR(IF(H12='závěsy dle výklopu'!BR2,VLOOKUP(H15,kombinace_5!$CD$3:$CF$18,3,0),IF(H12='závěsy dle výklopu'!BQ2,1,0)),0)</f>
        <v>0</v>
      </c>
      <c r="AV19" s="140">
        <f>IFERROR(VLOOKUP(H15,kombinace_5!$CD:$CF,3,0),0)</f>
        <v>0</v>
      </c>
    </row>
    <row r="20" spans="1:52" ht="18" customHeight="1">
      <c r="A20" s="61"/>
      <c r="B20" s="644">
        <f>IF(H13&lt;&gt;"Salice",(IFERROR('Translate&amp;Prices&amp;Logo'!$B$242&amp;" "&amp;(VLOOKUP(H17,kombinace_5!$BY$32:$CA$35,2,0)),0)),0)</f>
        <v>0</v>
      </c>
      <c r="C20" s="583"/>
      <c r="D20" s="583"/>
      <c r="E20" s="583"/>
      <c r="F20" s="638">
        <v>100</v>
      </c>
      <c r="G20" s="638"/>
      <c r="H20" s="638"/>
      <c r="I20" s="638"/>
      <c r="J20" s="583">
        <f>IFERROR('Translate&amp;Prices&amp;Logo'!$B$242&amp;" "&amp;(VLOOKUP(H17,kombinace_5!$BY$32:$CA$35,3,0)),0)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IF(kombinace_5!FC2=FALSE,'Translate&amp;Prices&amp;Logo'!$B$173," ")</f>
        <v>Typ upravy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Už nemeniť po tom čo vyberiete typ skla/sieťky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VLOOKUP(H17,kombinace_5!$BY$3:$BZ$6,2,0)</f>
        <v>#N/A</v>
      </c>
      <c r="AV23" s="140"/>
    </row>
    <row r="24" spans="1:52" ht="18" customHeight="1">
      <c r="A24" s="61"/>
      <c r="B24" s="614" t="str">
        <f>'Translate&amp;Prices&amp;Logo'!$B$562</f>
        <v>Typ fólie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Vzdialenosť od ľavého kraja</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skla/sieťky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VLOOKUP(H27,kombinace_5!$BY3:$BZ6,2,0)</f>
        <v>#N/A</v>
      </c>
      <c r="AV25" s="140"/>
    </row>
    <row r="26" spans="1:52" ht="18" customHeight="1">
      <c r="A26" s="61"/>
      <c r="B26" s="585" t="str">
        <f>'Translate&amp;Prices&amp;Logo'!$B$549</f>
        <v>Rozteč úchytiek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Umiestnenie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kusov</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Dodať vrátane uvedeného kovania -&gt; vyberte zo zoznamu: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VLOOKUP(H14,kombinace_5!$DN$7:$DO$24,2,0)</f>
        <v>#N/A</v>
      </c>
      <c r="AB29" s="626">
        <f>IF(kombinace_5!FC2=TRUE,AB4,IF(H12='závěsy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rámčekov celkom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Šírka</v>
      </c>
      <c r="AG30" s="625"/>
      <c r="AH30" s="625"/>
      <c r="AI30" s="618"/>
      <c r="AJ30" s="618"/>
      <c r="AK30" s="618"/>
      <c r="AL30" s="9"/>
      <c r="AM30" s="9"/>
      <c r="AN30" s="9"/>
      <c r="AO30" s="9"/>
      <c r="AP30" s="9"/>
      <c r="AQ30" s="9"/>
      <c r="AR30" s="9"/>
      <c r="AS30" s="9"/>
      <c r="AT30" s="146"/>
      <c r="AU30" s="138" t="e">
        <f>HLOOKUP("_Úzký_dolny_K12",kombinace_5!CV2:CW19,3,FALSE)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Súhrn</v>
      </c>
      <c r="AP31" s="674"/>
      <c r="AQ31" s="674"/>
      <c r="AR31" s="674"/>
      <c r="AS31" s="9"/>
      <c r="AT31" s="146"/>
      <c r="AU31" s="138" t="e">
        <f>AD44</f>
        <v>#N/A</v>
      </c>
    </row>
    <row r="32" spans="1:52" ht="17.25" customHeight="1">
      <c r="A32" s="61"/>
      <c r="B32" s="635" t="str">
        <f>'Translate&amp;Prices&amp;Logo'!$B$171</f>
        <v>Uvedené ceny sú bez DPH a nezahrňujú cenu požadovaného kovania!</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Rámy bez skla sa dodávajú v demontovanom stave.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IF(kombinace_5!V1=2,((AR14/1000)*(AI30/1000))*'Translate&amp;Prices&amp;Logo'!C94,0)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IF(kombinace_5!$V$1=3,IFERROR(((VLOOKUP(H24,'Translate&amp;Prices&amp;Logo'!B91:C93,2,0))*(AR14/1000)),0),0)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IF(kombinace_5!FC2=TRUE,_profily_síťka,IF(kombinace_5!H1=TRUE,_kombinovane_profily,_vše_profily))</f>
        <v>BRW (elox.) - maximálna odporúčaná odporúčaná dĺžka profilu 2500 mm</v>
      </c>
      <c r="L36" s="157" t="str">
        <f t="array" ref="L36:M36">IF(kombinace_5!H1=TRUE,'závěsy dle výklopu'!$BQ$2:$BR$2,
IF(H8=kombinace_5!A36,'závěsy dle výklopu'!$BQ$2,IF(H8=kombinace_5!A37,'závěsy dle výklopu'!$BQ$2,IF(H8=kombinace_5!A60,'závěsy dle výklopu'!$BQ$2,IF(H8=kombinace_5!A61,'závěsy dle výklopu'!$BQ$2,IF(H8=kombinace_5!A62,'závěsy dle výklopu'!$BQ$2,IF(H8=kombinace_5!A63,'závěsy dle výklopu'!$BQ$2,'závěsy dle výklopu'!$BQ$2:$BR$2)))))))</f>
        <v>Závesy</v>
      </c>
      <c r="M36" s="157" t="str">
        <v>Výklopy</v>
      </c>
      <c r="P36" s="157" t="str" cm="1">
        <f t="array" ref="P36:P38">IF(H13=kombinace_5!BQ11,kombinace_5!$DN$2,kombinace_5!$DN$2:$DN$4)</f>
        <v>Naložený</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55"/>
      <c r="AX36" s="255"/>
      <c r="AY36" s="255"/>
    </row>
    <row r="37" spans="1:58" s="157" customFormat="1" ht="15" hidden="1" customHeight="1">
      <c r="A37" s="140"/>
      <c r="B37" s="157" t="str">
        <v>BRW biela matt RAL 9003 - maximálna odporúčaná dĺžka profilu 2500 mm</v>
      </c>
      <c r="P37" s="157" t="e">
        <v>#N/A</v>
      </c>
      <c r="T37" s="157">
        <f ca="1"/>
        <v>0</v>
      </c>
      <c r="W37" s="157" t="str" cm="1">
        <f t="array" ref="W37:W38">IF(Hlavní!$V$39=3,"",'Translate&amp;Prices&amp;Logo'!B556:B557)</f>
        <v>Áno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biela lesk RAL 9003 - maximálna odporúčaná dĺžka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Nie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brúsené - maximálna odporúčaná dĺžka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čierna matt - maximálna odporúčaná dĺžka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čierna brúsená - maximálna odporúčaná dĺžka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svetlá nerez (INOX ACIER gratta)- maximálna odporúčaná dĺžka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maximálna odporúčaná dĺžka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maximálna odporúčaná dĺžka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maximálna odporúčaná dĺžka profilu 2500 mm</v>
      </c>
      <c r="M45" s="157" t="s">
        <v>2500</v>
      </c>
      <c r="N45" s="157" t="s">
        <v>1039</v>
      </c>
      <c r="AS45" s="133"/>
      <c r="AW45" s="255"/>
      <c r="AX45" s="255"/>
      <c r="AY45" s="255"/>
    </row>
    <row r="46" spans="1:58" s="157" customFormat="1" ht="14.85" hidden="1" customHeight="1">
      <c r="A46" s="140"/>
      <c r="B46" s="157" t="str">
        <v>BRW hnědá - maximálna odporúčaná dĺžka profilu 2500 mm</v>
      </c>
      <c r="M46" s="157" t="s">
        <v>4323</v>
      </c>
    </row>
    <row r="47" spans="1:58" s="157" customFormat="1" ht="14.85" hidden="1" customHeight="1">
      <c r="A47" s="140"/>
      <c r="B47" s="157" t="str">
        <v>BRW tmavá nerez brúsená (INOX LIJA) - maximálna odporúčaná dĺžka profilu 2500 mm</v>
      </c>
      <c r="M47" s="157" t="s">
        <v>4324</v>
      </c>
      <c r="T47" s="157" t="str">
        <f>CONCATENATE(H13,"_",VLOOKUP(kombinace_5!H1,kombinace_5!$J$14:$K$15,2,0))</f>
        <v>_2</v>
      </c>
      <c r="AD47" s="157" t="s">
        <v>4322</v>
      </c>
      <c r="AI47" s="112"/>
      <c r="AJ47" s="277"/>
      <c r="AN47" s="670"/>
      <c r="AO47" s="670"/>
      <c r="AP47" s="670"/>
      <c r="AQ47" s="670"/>
    </row>
    <row r="48" spans="1:58" s="157" customFormat="1" ht="14.85" hidden="1" customHeight="1">
      <c r="A48" s="140"/>
      <c r="B48" s="157" t="str">
        <v>BRW kašmír - maximálna odporúčaná dĺžka profilu 2500 mm</v>
      </c>
      <c r="T48" s="157" t="e">
        <f>VLOOKUP(AD42,kombinace_5!ER1:ES120,2,0)</f>
        <v>#N/A</v>
      </c>
      <c r="AS48"/>
      <c r="AT48"/>
    </row>
    <row r="49" spans="1:46" s="157" customFormat="1" ht="14.85" hidden="1" customHeight="1">
      <c r="A49" s="140"/>
      <c r="B49" s="157" t="str">
        <v>BRW zlatá - maximálna odporúčaná dĺžka profilu 2500 mm</v>
      </c>
      <c r="AS49"/>
      <c r="AT49"/>
    </row>
    <row r="50" spans="1:46" s="157" customFormat="1" ht="14.85" hidden="1" customHeight="1">
      <c r="A50" s="140"/>
      <c r="B50" s="157" t="str">
        <v>BRW zlatá brúsená - maximálna odporúčaná dĺžka profilu 2500 mm</v>
      </c>
      <c r="AS50"/>
      <c r="AT50"/>
    </row>
    <row r="51" spans="1:46" s="157" customFormat="1" ht="14.85" hidden="1" customHeight="1">
      <c r="A51" s="140"/>
      <c r="B51" s="157" t="str">
        <v>Corleone (elox.) - maximálna odporúčaná dĺžka profilu 1500 mm</v>
      </c>
      <c r="AS51"/>
      <c r="AT51"/>
    </row>
    <row r="52" spans="1:46" s="157" customFormat="1" ht="14.85" hidden="1" customHeight="1">
      <c r="A52" s="140"/>
      <c r="B52" s="157" t="str">
        <v>Corleone čierne mat - maximálna odporúčaná dĺžka profilu 1500 mm</v>
      </c>
      <c r="AS52"/>
      <c r="AT52"/>
    </row>
    <row r="53" spans="1:46" s="157" customFormat="1" ht="14.85" hidden="1" customHeight="1">
      <c r="A53" s="140"/>
      <c r="B53" s="157" t="str">
        <v>ASTI čierna mat - maximálna odporúčaná dĺžka profilu 2150</v>
      </c>
      <c r="AS53"/>
      <c r="AT53"/>
    </row>
    <row r="54" spans="1:46" s="157" customFormat="1" ht="14.85" hidden="1" customHeight="1">
      <c r="A54" s="140"/>
      <c r="B54" s="157" t="str">
        <v>ASTI antracit RAL 7021 mat - maximálna odporúčaná dĺžka profilu 2500 mm</v>
      </c>
      <c r="K54" s="157" t="str">
        <f t="array" ref="K54:K58">IF(OR($H$15=kombinace_5!AB40,$H$15=kombinace_5!AB7,$H$15=kombinace_5!AB15,$H$15=kombinace_5!AB20,$H$15=kombinace_5!AB21,$H$15=kombinace_5!AB22),'Translate&amp;Prices&amp;Logo'!$B$229:$B$231,IF($H$15=kombinace_5!AB41,'Translate&amp;Prices&amp;Logo'!$B$229:$B$231,'Translate&amp;Prices&amp;Logo'!$B$233:$B$237))</f>
        <v>Úzky ALU rámček</v>
      </c>
      <c r="T54" s="157" t="str">
        <f t="array" ref="T54:T56">kombinace_5!$EN$3:$EN$5</f>
        <v>Bez úprav</v>
      </c>
      <c r="U54" s="157">
        <v>1</v>
      </c>
      <c r="X54" s="157" t="str">
        <f t="array" ref="X54:X56">kombinace_5!$X$3:$X$5</f>
        <v>transparentné</v>
      </c>
      <c r="AD54" s="157" t="e">
        <f t="array" aca="1" ref="AD54:AD96" ca="1">IF(kombinace_5!FC2=FALSE,
INDIRECT(kombinace_5!S1),
IF(kombinace_5!FC2=TRUE,INDIRECT(VLOOKUP(Ram_5!H8,'závěsy dle výklopu'!A81:B90,2,0)),0))</f>
        <v>#N/A</v>
      </c>
      <c r="AS54"/>
      <c r="AT54"/>
    </row>
    <row r="55" spans="1:46" s="157" customFormat="1" ht="14.85" hidden="1" customHeight="1">
      <c r="A55" s="140"/>
      <c r="B55" s="157" t="str">
        <v>Imola (elox.) - maximálna odporúčaná dĺžka profilu 2500 mm</v>
      </c>
      <c r="K55" s="157" t="str">
        <v>Široký ALU rámček</v>
      </c>
      <c r="T55" s="157" t="str">
        <v>Kalené (termín dodania 4 týždne)</v>
      </c>
      <c r="U55" s="157">
        <v>2</v>
      </c>
      <c r="X55" s="157" t="str">
        <v>biela</v>
      </c>
      <c r="AD55" s="157" t="e">
        <f ca="1"/>
        <v>#N/A</v>
      </c>
      <c r="AS55"/>
      <c r="AT55"/>
    </row>
    <row r="56" spans="1:46" s="157" customFormat="1" ht="14.85" hidden="1" customHeight="1">
      <c r="A56" s="140"/>
      <c r="B56" s="157" t="str">
        <v>Imola čierna mat - maximálna odporúčaná dĺžka profilu 2500 mm</v>
      </c>
      <c r="K56" s="157" t="str">
        <v>MDF hrúbky 16 mm</v>
      </c>
      <c r="T56" s="157" t="str">
        <v>Folie</v>
      </c>
      <c r="U56" s="157">
        <v>3</v>
      </c>
      <c r="X56" s="157" t="str">
        <v>čierna</v>
      </c>
      <c r="AD56" s="157" t="e">
        <f ca="1"/>
        <v>#N/A</v>
      </c>
    </row>
    <row r="57" spans="1:46" s="157" customFormat="1" ht="14.85" hidden="1" customHeight="1">
      <c r="A57" s="140"/>
      <c r="B57" s="157" t="str">
        <v>Imola biela matt RAL 9003 - maximálna odporúčaná dĺžka profilu 2500 mm</v>
      </c>
      <c r="K57" s="157" t="str">
        <v>MDF hrúbky 18 mm</v>
      </c>
      <c r="AD57" s="157" t="e">
        <f ca="1"/>
        <v>#N/A</v>
      </c>
    </row>
    <row r="58" spans="1:46" s="157" customFormat="1" ht="14.85" hidden="1" customHeight="1">
      <c r="A58" s="140"/>
      <c r="B58" s="157" t="str">
        <v>Imola zlatá - maximálna odporúčaná dĺžka profilu 2150 mm</v>
      </c>
      <c r="K58" s="157" t="str">
        <v>DTDL hrúbky 18 mm</v>
      </c>
      <c r="AD58" s="157" t="e">
        <f ca="1"/>
        <v>#N/A</v>
      </c>
    </row>
    <row r="59" spans="1:46" s="157" customFormat="1" ht="14.85" hidden="1" customHeight="1">
      <c r="A59" s="140"/>
      <c r="B59" s="157" t="str">
        <v>Modena (elox.) - maximálna odporúčaná dĺžka profilu 2500 mm</v>
      </c>
      <c r="T59" s="157">
        <f>IFERROR(VLOOKUP($H$21,$T$54:$U$56,2,0),0)</f>
        <v>0</v>
      </c>
      <c r="AD59" s="157" t="e">
        <f ca="1"/>
        <v>#N/A</v>
      </c>
    </row>
    <row r="60" spans="1:46" s="157" customFormat="1" ht="14.85" hidden="1" customHeight="1">
      <c r="A60" s="140"/>
      <c r="B60" s="157" t="str">
        <v>Modena čierna matt - maximálna odporúčaná dĺžka profilu 2500 mm</v>
      </c>
      <c r="K60" s="157" t="b">
        <f>K56=K61</f>
        <v>0</v>
      </c>
      <c r="AD60" s="157" t="e">
        <f ca="1"/>
        <v>#N/A</v>
      </c>
    </row>
    <row r="61" spans="1:46" s="157" customFormat="1" ht="14.85" hidden="1" customHeight="1">
      <c r="A61" s="140"/>
      <c r="B61" s="157" t="str">
        <v>Modena čierna brúsená - maximálna odporúčaná dĺžka profilu 2500 mm</v>
      </c>
      <c r="H61" s="157" t="str">
        <f>'Translate&amp;Prices&amp;Logo'!$B$186</f>
        <v>Spodné dvierko</v>
      </c>
      <c r="K61" s="157" t="str">
        <f>'Translate&amp;Prices&amp;Logo'!$B$231</f>
        <v>2 Kusy (obe strany)</v>
      </c>
      <c r="AD61" s="157" t="e">
        <f ca="1"/>
        <v>#N/A</v>
      </c>
    </row>
    <row r="62" spans="1:46" s="157" customFormat="1" ht="14.85" hidden="1" customHeight="1">
      <c r="A62" s="140"/>
      <c r="B62" s="157" t="str">
        <v>Modena tmavá nerez brúsená LIJA - maximálna odporúčaná dĺžka profilu 2500 mm</v>
      </c>
      <c r="AD62" s="157" t="e">
        <f ca="1"/>
        <v>#N/A</v>
      </c>
    </row>
    <row r="63" spans="1:46" s="157" customFormat="1" ht="14.85" hidden="1" customHeight="1">
      <c r="A63" s="140"/>
      <c r="B63" s="157" t="str">
        <v>Modena hnědá - maximálna odporúčaná dĺžka profilu 2500 mm</v>
      </c>
      <c r="AD63" s="157" t="e">
        <f ca="1"/>
        <v>#N/A</v>
      </c>
    </row>
    <row r="64" spans="1:46" s="157" customFormat="1" ht="14.85" hidden="1" customHeight="1">
      <c r="A64" s="140"/>
      <c r="B64" s="157" t="str">
        <v>Pisa (elox.) - maximálna odporúčaná dĺžka profilu 2500 mm</v>
      </c>
      <c r="AD64" s="157" t="e">
        <f ca="1"/>
        <v>#N/A</v>
      </c>
    </row>
    <row r="65" spans="1:30" s="157" customFormat="1" ht="14.85" hidden="1" customHeight="1">
      <c r="A65" s="140"/>
      <c r="B65" s="157" t="str">
        <v>Pisa biela mat RAL 9003 - maximálna odporúčaná dĺžka profilu 2500 mm</v>
      </c>
      <c r="H65" s="33" t="str">
        <f>'rozpad závěsů bez prázdn. řádků'!$K$1</f>
        <v>krížová skrutka</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výklopu'!$BQ$2,$J$65:$J$71,'Translate&amp;Prices&amp;Logo'!$B$185:$B$186)))</f>
        <v>Horné dvierko</v>
      </c>
      <c r="AD65" s="157" t="e">
        <f ca="1"/>
        <v>#N/A</v>
      </c>
    </row>
    <row r="66" spans="1:30" s="157" customFormat="1" ht="14.85" hidden="1" customHeight="1">
      <c r="A66" s="140"/>
      <c r="B66" s="157" t="str">
        <v>Pisa biela lesk RAL 9003 - maximálna odporúčaná dĺžka profilu 2500 mm</v>
      </c>
      <c r="H66" s="33" t="str">
        <f>'rozpad závěsů bez prázdn. řádků'!$M$1</f>
        <v>na vrut (s excentrom)</v>
      </c>
      <c r="I66" s="159">
        <v>8</v>
      </c>
      <c r="J66" s="32" t="e">
        <f>VLOOKUP($H$15,'rozpad závěsů bez prázdn. řádků'!$G$2:$X$66,I66,0)</f>
        <v>#N/A</v>
      </c>
      <c r="O66" s="157" t="str">
        <v>Spodné dvierko</v>
      </c>
      <c r="AD66" s="157" t="e">
        <f ca="1"/>
        <v>#N/A</v>
      </c>
    </row>
    <row r="67" spans="1:30" s="157" customFormat="1" ht="14.85" hidden="1" customHeight="1">
      <c r="A67" s="140"/>
      <c r="B67" s="157" t="str">
        <v>Pisa čierna matt - maximálna odporúčaná dĺžka profilu 2500 mm</v>
      </c>
      <c r="H67" s="33" t="str">
        <f>'rozpad závěsů bez prázdn. řádků'!$O$1</f>
        <v>euroskrut</v>
      </c>
      <c r="I67" s="159">
        <v>10</v>
      </c>
      <c r="J67" s="32" t="e">
        <f>VLOOKUP($H$15,'rozpad závěsů bez prázdn. řádků'!$G$2:$X$66,I67,0)</f>
        <v>#N/A</v>
      </c>
      <c r="AD67" s="157" t="e">
        <f ca="1"/>
        <v>#N/A</v>
      </c>
    </row>
    <row r="68" spans="1:30" s="157" customFormat="1" ht="14.85" hidden="1" customHeight="1">
      <c r="A68" s="140"/>
      <c r="B68" s="157" t="str">
        <v>Pisa zlatá - maximálna odporúčaná dĺžka profilu 2150 mm</v>
      </c>
      <c r="H68" s="33" t="str">
        <f>'rozpad závěsů bez prázdn. řádků'!$Q$1</f>
        <v>křížová expando</v>
      </c>
      <c r="I68" s="159">
        <v>12</v>
      </c>
      <c r="J68" s="32" t="e">
        <f>VLOOKUP($H$15,'rozpad závěsů bez prázdn. řádků'!$G$2:$X$66,I68,0)</f>
        <v>#N/A</v>
      </c>
      <c r="AD68" s="157" t="e">
        <f ca="1"/>
        <v>#N/A</v>
      </c>
    </row>
    <row r="69" spans="1:30" s="157" customFormat="1" ht="14.85" hidden="1" customHeight="1">
      <c r="A69" s="140"/>
      <c r="B69" s="157" t="str">
        <v>Rocca (elox.) - maximálna odporúčaná dĺžka profilu 2150 mm</v>
      </c>
      <c r="H69" s="33" t="str">
        <f>'rozpad závěsů bez prázdn. řádků'!$S$1</f>
        <v>priama Skrut</v>
      </c>
      <c r="I69" s="159">
        <v>14</v>
      </c>
      <c r="J69" s="32" t="e">
        <f>VLOOKUP($H$15,'rozpad závěsů bez prázdn. řádků'!$G$2:$X$66,I69,0)</f>
        <v>#N/A</v>
      </c>
      <c r="AD69" s="157" t="e">
        <f ca="1"/>
        <v>#N/A</v>
      </c>
    </row>
    <row r="70" spans="1:30" s="157" customFormat="1" ht="14.85" hidden="1" customHeight="1">
      <c r="A70" s="140"/>
      <c r="B70" s="157" t="str">
        <v>Rocca čierna mat - maximálna odporúčaná dĺžka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čierna matt - maximálna odporúčaná dĺžka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maximálna odporúčaná dĺžka profilu 2500 mm</v>
      </c>
      <c r="AD72" s="157" t="e">
        <f ca="1"/>
        <v>#N/A</v>
      </c>
    </row>
    <row r="73" spans="1:30" s="157" customFormat="1" ht="14.85" hidden="1" customHeight="1">
      <c r="A73" s="140"/>
      <c r="B73" s="157" t="str">
        <v>Verona brúsená - maximálna odporúčaná dĺžka profilu 2500 mm</v>
      </c>
      <c r="AD73" s="157" t="e">
        <f ca="1"/>
        <v>#N/A</v>
      </c>
    </row>
    <row r="74" spans="1:30" s="157" customFormat="1" ht="14.85" hidden="1" customHeight="1">
      <c r="A74" s="140"/>
      <c r="B74" s="157" t="str">
        <v>Verona čierna mat - maximálna odporúčaná dĺžka profilu 2500 mm</v>
      </c>
      <c r="AD74" s="157" t="e">
        <f ca="1"/>
        <v>#N/A</v>
      </c>
    </row>
    <row r="75" spans="1:30" s="157" customFormat="1" ht="14.85" hidden="1" customHeight="1">
      <c r="A75" s="140"/>
      <c r="B75" s="157" t="str">
        <v>Verona čierna lesk - maximálna odporúčaná dĺžka profilu 2500 mm</v>
      </c>
      <c r="AD75" s="157" t="e">
        <f ca="1"/>
        <v>#N/A</v>
      </c>
    </row>
    <row r="76" spans="1:30" s="157" customFormat="1" ht="14.85" hidden="1" customHeight="1">
      <c r="A76" s="140"/>
      <c r="B76" s="157" t="str">
        <v>Verona hnědá - maximálna odporúčaná dĺžka profilu 2500 mm</v>
      </c>
      <c r="AD76" s="157" t="e">
        <f ca="1"/>
        <v>#N/A</v>
      </c>
    </row>
    <row r="77" spans="1:30" s="157" customFormat="1" ht="14.85" hidden="1" customHeight="1">
      <c r="A77" s="140"/>
      <c r="B77" s="157" t="str">
        <v>Verona champagne - maximálna odporúčaná dĺžka profilu 2500 mm</v>
      </c>
      <c r="AD77" s="157" t="e">
        <f ca="1"/>
        <v>#N/A</v>
      </c>
    </row>
    <row r="78" spans="1:30" s="157" customFormat="1" ht="14.85" hidden="1" customHeight="1">
      <c r="A78" s="140"/>
      <c r="B78" s="157" t="str">
        <v>Verona nerez brúsená - maximálna odporúčaná dĺžka profilu 2500 mm</v>
      </c>
      <c r="AD78" s="157" t="e">
        <f ca="1"/>
        <v>#N/A</v>
      </c>
    </row>
    <row r="79" spans="1:30" s="157" customFormat="1" ht="14.85" hidden="1" customHeight="1">
      <c r="A79" s="140"/>
      <c r="B79" s="157" t="str">
        <v>Verona svetlá nerez brúsená Acier - maximálna odporúčaná dĺžka profilu 2500 mm</v>
      </c>
      <c r="AD79" s="157" t="e">
        <f ca="1"/>
        <v>#N/A</v>
      </c>
    </row>
    <row r="80" spans="1:30" s="157" customFormat="1" ht="14.85" hidden="1" customHeight="1">
      <c r="A80" s="140"/>
      <c r="B80" s="157" t="str">
        <v>Verona Ivory mat - maximálna odporúčaná dĺžka profilu 2150 mm</v>
      </c>
      <c r="AD80" s="157" t="e">
        <f ca="1"/>
        <v>#N/A</v>
      </c>
    </row>
    <row r="81" spans="1:38" s="157" customFormat="1" ht="14.85" hidden="1" customHeight="1">
      <c r="A81" s="140"/>
      <c r="B81" s="157" t="str">
        <v>Verona kašmír - maximálna odporúčaná dĺžka profilu 2150 mm</v>
      </c>
      <c r="AD81" s="157" t="e">
        <f ca="1"/>
        <v>#N/A</v>
      </c>
    </row>
    <row r="82" spans="1:38" s="157" customFormat="1" ht="14.85" hidden="1" customHeight="1">
      <c r="A82" s="140"/>
      <c r="B82" s="157" t="str">
        <v>Verona zlatá - maximálna odporúčaná dĺžka profilu 2150 mm</v>
      </c>
      <c r="P82" s="157" t="str" cm="1">
        <f t="array" ref="P82:P85">IF(OR(H8=kombinace_5!F18,H8=kombinace_5!F19,H8=kombinace_5!A60,H8=kombinace_5!A61,H8=kombinace_5!A62,H8=kombinace_5!A63),_2_strany,IF(H15=kombinace_5!AB8,_ramena_HL,_4_strany))</f>
        <v>Navrchu</v>
      </c>
      <c r="AD82" s="157" t="e">
        <f ca="1"/>
        <v>#N/A</v>
      </c>
    </row>
    <row r="83" spans="1:38" ht="14.85" hidden="1" customHeight="1">
      <c r="B83" s="138" t="str">
        <v>Verona zlatá brúsená - maximálna odporúčaná dĺžka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maximálna odporúčaná dĺžka profilu 2500 mm</v>
      </c>
      <c r="C84" s="140"/>
      <c r="D84" s="140"/>
      <c r="E84" s="140"/>
      <c r="F84" s="140"/>
      <c r="G84" s="140"/>
      <c r="H84" s="140"/>
      <c r="I84" s="140"/>
      <c r="J84" s="140"/>
      <c r="K84" s="140"/>
      <c r="L84" s="140"/>
      <c r="M84" s="140"/>
      <c r="N84" s="140"/>
      <c r="O84" s="138"/>
      <c r="P84" s="140" t="str">
        <v>Vpravo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čierne mat - maximálna odporúčaná dĺžka profilu 2500 mm</v>
      </c>
      <c r="C85" s="140"/>
      <c r="D85" s="140"/>
      <c r="E85" s="140"/>
      <c r="F85" s="140"/>
      <c r="G85" s="140"/>
      <c r="H85" s="140"/>
      <c r="I85" s="140"/>
      <c r="J85" s="140"/>
      <c r="K85" s="140"/>
      <c r="L85" s="140"/>
      <c r="M85" s="140"/>
      <c r="N85" s="140"/>
      <c r="O85" s="140"/>
      <c r="P85" s="140" t="str">
        <v>Vľavo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maximálna odporúčaná dĺžka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biela matt RAL 9003 - maximálna odporúčaná dĺžka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biela lesk RAL 9003 - maximálna odporúčaná dĺžka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maximálna odporúčaná dĺžka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brúsená - maximálna odporúčaná dĺžka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(Vľavo a vpravo) + Varna elox (Hore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čierna (Vľavo a vpravo) + Varna čierna (Hore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čierna mat - maximálna odporúčaná dĺžka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maximálna odporúčaná dĺžka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čierna mat - maximálna odporúčaná dĺžka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maximálna odporúčaná dĺžka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XONUNUCZ+3XkywVqKOXRxsk+ffHMF5jf1aSej12H1ygBqplTKS2ey3kG/CxPxQC6J9OQ08RRRWqb51V7P2xnyA==" saltValue="xULIitqwjgIYVePzIZmH7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71" priority="24" operator="equal">
      <formula>$A$2</formula>
    </cfRule>
  </conditionalFormatting>
  <conditionalFormatting sqref="B16:I16">
    <cfRule type="expression" dxfId="270" priority="45">
      <formula>$AU$19=0</formula>
    </cfRule>
  </conditionalFormatting>
  <conditionalFormatting sqref="B9:Q9">
    <cfRule type="expression" dxfId="269" priority="30">
      <formula>$B$9=0</formula>
    </cfRule>
  </conditionalFormatting>
  <conditionalFormatting sqref="B11:Q11">
    <cfRule type="expression" dxfId="268" priority="44">
      <formula>$AU$10=0</formula>
    </cfRule>
  </conditionalFormatting>
  <conditionalFormatting sqref="B14:Q14">
    <cfRule type="expression" dxfId="267" priority="29">
      <formula>$B$14=0</formula>
    </cfRule>
  </conditionalFormatting>
  <conditionalFormatting sqref="B17:Q17">
    <cfRule type="expression" dxfId="266" priority="28">
      <formula>$B$17=0</formula>
    </cfRule>
  </conditionalFormatting>
  <conditionalFormatting sqref="B18:Q18">
    <cfRule type="expression" dxfId="265" priority="14" stopIfTrue="1">
      <formula>$B$18=0</formula>
    </cfRule>
    <cfRule type="expression" dxfId="264" priority="17">
      <formula>$F$16=$H$61</formula>
    </cfRule>
  </conditionalFormatting>
  <conditionalFormatting sqref="B19:Q19">
    <cfRule type="expression" dxfId="263" priority="27">
      <formula>$B$19=0</formula>
    </cfRule>
  </conditionalFormatting>
  <conditionalFormatting sqref="B20:Q20">
    <cfRule type="expression" dxfId="262" priority="25">
      <formula>$B$20=0</formula>
    </cfRule>
    <cfRule type="expression" dxfId="261" priority="26">
      <formula>$B$19=0</formula>
    </cfRule>
  </conditionalFormatting>
  <conditionalFormatting sqref="B21:Q21">
    <cfRule type="expression" dxfId="260" priority="6">
      <formula>$B$21=" "</formula>
    </cfRule>
  </conditionalFormatting>
  <conditionalFormatting sqref="B24:Q24">
    <cfRule type="expression" dxfId="259" priority="19" stopIfTrue="1">
      <formula>$T$59&lt;3</formula>
    </cfRule>
  </conditionalFormatting>
  <conditionalFormatting sqref="H23">
    <cfRule type="expression" dxfId="258" priority="31">
      <formula>$H$25&gt;0</formula>
    </cfRule>
  </conditionalFormatting>
  <conditionalFormatting sqref="H10:L11">
    <cfRule type="expression" dxfId="257" priority="23">
      <formula>$AU$10=2</formula>
    </cfRule>
  </conditionalFormatting>
  <conditionalFormatting sqref="H10:Q10">
    <cfRule type="expression" dxfId="256" priority="22">
      <formula>$AU$10=0</formula>
    </cfRule>
  </conditionalFormatting>
  <conditionalFormatting sqref="H22:Q22 B22:G23">
    <cfRule type="expression" dxfId="255" priority="20">
      <formula>$AS$33=1</formula>
    </cfRule>
  </conditionalFormatting>
  <conditionalFormatting sqref="J16:M16">
    <cfRule type="expression" dxfId="254" priority="16" stopIfTrue="1">
      <formula>$K$60=TRUE</formula>
    </cfRule>
  </conditionalFormatting>
  <conditionalFormatting sqref="J16:N16">
    <cfRule type="expression" dxfId="253" priority="18" stopIfTrue="1">
      <formula>$AV$19=0</formula>
    </cfRule>
  </conditionalFormatting>
  <conditionalFormatting sqref="M10:Q11">
    <cfRule type="expression" dxfId="252" priority="21">
      <formula>$AU$10=1</formula>
    </cfRule>
  </conditionalFormatting>
  <conditionalFormatting sqref="N16:Q16">
    <cfRule type="expression" dxfId="251" priority="15" stopIfTrue="1">
      <formula>$K$60=TRUE</formula>
    </cfRule>
  </conditionalFormatting>
  <conditionalFormatting sqref="P29:Q29">
    <cfRule type="expression" dxfId="250" priority="1">
      <formula>$U$41=2</formula>
    </cfRule>
  </conditionalFormatting>
  <conditionalFormatting sqref="AA9:AA10 AA24:AA25">
    <cfRule type="expression" dxfId="249" priority="10" stopIfTrue="1">
      <formula>$AU$17=1</formula>
    </cfRule>
  </conditionalFormatting>
  <conditionalFormatting sqref="AA16:AA17">
    <cfRule type="expression" dxfId="248" priority="5" stopIfTrue="1">
      <formula>$AU$24="1_3"</formula>
    </cfRule>
  </conditionalFormatting>
  <conditionalFormatting sqref="AB6 AA6:AA7 AA27 AA28:AB28">
    <cfRule type="expression" dxfId="247" priority="4" stopIfTrue="1">
      <formula>$AV$17=1</formula>
    </cfRule>
  </conditionalFormatting>
  <conditionalFormatting sqref="AB29:AO29">
    <cfRule type="cellIs" dxfId="246" priority="2" operator="equal">
      <formula>0</formula>
    </cfRule>
  </conditionalFormatting>
  <conditionalFormatting sqref="AC6:AD6 AM6:AN6">
    <cfRule type="expression" dxfId="245" priority="12" stopIfTrue="1">
      <formula>$AU$17=3</formula>
    </cfRule>
  </conditionalFormatting>
  <conditionalFormatting sqref="AC25:AD25 AJ26:AJ27">
    <cfRule type="expression" dxfId="244" priority="39">
      <formula>$AU$25=4</formula>
    </cfRule>
  </conditionalFormatting>
  <conditionalFormatting sqref="AC28:AD28 AM28:AN28">
    <cfRule type="expression" dxfId="243" priority="11" stopIfTrue="1">
      <formula>$AU$17=4</formula>
    </cfRule>
  </conditionalFormatting>
  <conditionalFormatting sqref="AC8:AG8">
    <cfRule type="expression" dxfId="242" priority="43">
      <formula>$AU$25=3</formula>
    </cfRule>
  </conditionalFormatting>
  <conditionalFormatting sqref="AC24:AG24">
    <cfRule type="expression" dxfId="241" priority="40">
      <formula>$AU$25=4</formula>
    </cfRule>
  </conditionalFormatting>
  <conditionalFormatting sqref="AD10:AD12 AB19:AC19">
    <cfRule type="expression" dxfId="240" priority="33">
      <formula>$AU$25=1</formula>
    </cfRule>
  </conditionalFormatting>
  <conditionalFormatting sqref="AD14:AD21">
    <cfRule type="expression" dxfId="239" priority="32">
      <formula>$AU$25=1</formula>
    </cfRule>
  </conditionalFormatting>
  <conditionalFormatting sqref="AE10:AE16">
    <cfRule type="expression" dxfId="238" priority="41">
      <formula>$AU$25=1</formula>
    </cfRule>
  </conditionalFormatting>
  <conditionalFormatting sqref="AF9:AK9">
    <cfRule type="expression" dxfId="237" priority="36">
      <formula>$AU$25=3</formula>
    </cfRule>
  </conditionalFormatting>
  <conditionalFormatting sqref="AF25:AK25">
    <cfRule type="expression" dxfId="236" priority="38">
      <formula>$AU$25=4</formula>
    </cfRule>
  </conditionalFormatting>
  <conditionalFormatting sqref="AG6:AH6">
    <cfRule type="expression" dxfId="235" priority="8" stopIfTrue="1">
      <formula>$AU$24="3_3"</formula>
    </cfRule>
  </conditionalFormatting>
  <conditionalFormatting sqref="AG28:AH28">
    <cfRule type="expression" dxfId="234" priority="7" stopIfTrue="1">
      <formula>$AU$24="4_3"</formula>
    </cfRule>
  </conditionalFormatting>
  <conditionalFormatting sqref="AJ7:AJ8 AC9:AD9">
    <cfRule type="expression" dxfId="233" priority="37">
      <formula>$AU$25=3</formula>
    </cfRule>
  </conditionalFormatting>
  <conditionalFormatting sqref="AL19:AL25">
    <cfRule type="expression" dxfId="232" priority="42">
      <formula>$AU$25=2</formula>
    </cfRule>
  </conditionalFormatting>
  <conditionalFormatting sqref="AM14:AM21">
    <cfRule type="expression" dxfId="231" priority="34">
      <formula>$AU$25=2</formula>
    </cfRule>
  </conditionalFormatting>
  <conditionalFormatting sqref="AN19:AO19 AM23:AM25">
    <cfRule type="expression" dxfId="230" priority="35">
      <formula>$AU$25=2</formula>
    </cfRule>
  </conditionalFormatting>
  <conditionalFormatting sqref="AO6 AP6:AP7 AP27 AO28:AP28">
    <cfRule type="expression" dxfId="229" priority="3" stopIfTrue="1">
      <formula>$AV$17=2</formula>
    </cfRule>
  </conditionalFormatting>
  <conditionalFormatting sqref="AP9:AP10 AP24:AP25">
    <cfRule type="expression" dxfId="228" priority="9" stopIfTrue="1">
      <formula>$AU$17=2</formula>
    </cfRule>
  </conditionalFormatting>
  <conditionalFormatting sqref="AP16:AP17">
    <cfRule type="expression" dxfId="227"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$AD$54:$AD$96</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B36:B96</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BW1"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'Translate&amp;Prices&amp;Logo'!B553</f>
        <v>Naložený</v>
      </c>
      <c r="DP2" t="str">
        <f>'Translate&amp;Prices&amp;Logo'!$B$551</f>
        <v>Závesy</v>
      </c>
      <c r="DQ2">
        <v>2</v>
      </c>
      <c r="ED2" t="s">
        <v>1649</v>
      </c>
      <c r="EE2" t="s">
        <v>3242</v>
      </c>
      <c r="ER2" t="s">
        <v>2157</v>
      </c>
      <c r="ES2" t="s">
        <v>2162</v>
      </c>
      <c r="EV2">
        <v>2</v>
      </c>
      <c r="EW2" t="s">
        <v>2179</v>
      </c>
      <c r="EY2" s="213" t="str">
        <f>'Translate&amp;Prices&amp;Logo'!B164</f>
        <v>sieťka alu zlatá - rozmer oka 10x6x1 mm</v>
      </c>
      <c r="FA2" s="34" t="str">
        <f>'Translate&amp;Prices&amp;Logo'!B644</f>
        <v>520405 SALICE AIR SOFT niklový závěs s úhlem otevírání 92° sada 2ks</v>
      </c>
      <c r="FC2" t="b">
        <v>0</v>
      </c>
    </row>
    <row r="3" spans="1:159">
      <c r="A3" t="str">
        <f>'Translate&amp;Prices&amp;Logo'!$B$6</f>
        <v>BRW (elox.) - maximálna odporúčaná odporúčaná dĺžka profilu 2500 mm</v>
      </c>
      <c r="B3">
        <v>1</v>
      </c>
      <c r="C3" t="s">
        <v>651</v>
      </c>
      <c r="D3">
        <v>1</v>
      </c>
      <c r="F3" t="s">
        <v>950</v>
      </c>
      <c r="G3" t="s">
        <v>382</v>
      </c>
      <c r="H3" t="s">
        <v>951</v>
      </c>
      <c r="I3">
        <v>1</v>
      </c>
      <c r="J3">
        <v>2</v>
      </c>
      <c r="K3" t="s">
        <v>651</v>
      </c>
      <c r="M3" t="s">
        <v>952</v>
      </c>
      <c r="N3" t="s">
        <v>554</v>
      </c>
      <c r="X3" t="str">
        <f>'Translate&amp;Prices&amp;Logo'!$B$563</f>
        <v>transparentné</v>
      </c>
      <c r="Y3">
        <v>1</v>
      </c>
      <c r="AA3" t="s">
        <v>2083</v>
      </c>
      <c r="AB3" t="s">
        <v>1009</v>
      </c>
      <c r="AF3" t="s">
        <v>105</v>
      </c>
      <c r="AG3" t="s">
        <v>2377</v>
      </c>
      <c r="AY3" t="s">
        <v>984</v>
      </c>
      <c r="BK3" t="s">
        <v>105</v>
      </c>
      <c r="BU3" t="e">
        <f>VLOOKUP(BU2,BV2:BW9,2,0)</f>
        <v>#N/A</v>
      </c>
      <c r="BV3" t="s">
        <v>1015</v>
      </c>
      <c r="BW3" t="s">
        <v>1012</v>
      </c>
      <c r="BY3" t="str">
        <f>'Translate&amp;Prices&amp;Logo'!$B$230</f>
        <v>Vľavo</v>
      </c>
      <c r="BZ3">
        <v>1</v>
      </c>
      <c r="CA3">
        <v>32</v>
      </c>
      <c r="CD3" t="s">
        <v>2374</v>
      </c>
      <c r="CE3">
        <v>1</v>
      </c>
      <c r="CF3">
        <v>1</v>
      </c>
      <c r="DN3" t="e">
        <f>IF(OR(Ram_5!$H$13&amp;Ram_5!$AU$7=Ram_5!$M$44,
Ram_5!$H$13&amp;Ram_5!$AU$7=Ram_5!$M$45,
Ram_5!$H$13&amp;Ram_5!$AU$7=Ram_5!$M$46,
Ram_5!$H$13&amp;Ram_5!$AU$7=Ram_5!$M$47),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sieťka ocel čierna mat - rozmer oka 8x4x1 mm</v>
      </c>
      <c r="FA3" s="34" t="str">
        <f>'Translate&amp;Prices&amp;Logo'!B645</f>
        <v>520406 SALICE AIR PUSH TO OPEN niklový závěs s adaptérem sada 2ks</v>
      </c>
    </row>
    <row r="4" spans="1:159">
      <c r="A4" t="str">
        <f>'Translate&amp;Prices&amp;Logo'!$B$8</f>
        <v>BRW biela matt RAL 9003 - maximálna odporúčaná dĺžka profilu 2500 mm</v>
      </c>
      <c r="B4">
        <v>1</v>
      </c>
      <c r="C4" t="s">
        <v>651</v>
      </c>
      <c r="D4">
        <v>0</v>
      </c>
      <c r="G4" t="s">
        <v>951</v>
      </c>
      <c r="H4" t="s">
        <v>382</v>
      </c>
      <c r="I4">
        <v>0</v>
      </c>
      <c r="J4">
        <v>2</v>
      </c>
      <c r="K4" t="s">
        <v>651</v>
      </c>
      <c r="M4" t="s">
        <v>955</v>
      </c>
      <c r="N4" t="s">
        <v>856</v>
      </c>
      <c r="X4" t="str">
        <f>'Translate&amp;Prices&amp;Logo'!$B$564</f>
        <v>biela</v>
      </c>
      <c r="Y4">
        <v>2</v>
      </c>
      <c r="AA4" t="s">
        <v>954</v>
      </c>
      <c r="AB4" t="s">
        <v>2374</v>
      </c>
      <c r="AC4">
        <v>1</v>
      </c>
      <c r="AD4">
        <v>1</v>
      </c>
      <c r="AF4" t="s">
        <v>106</v>
      </c>
      <c r="AG4" t="s">
        <v>2377</v>
      </c>
      <c r="AY4" t="s">
        <v>984</v>
      </c>
      <c r="AZ4" t="s">
        <v>1017</v>
      </c>
      <c r="BK4" t="s">
        <v>106</v>
      </c>
      <c r="BV4" t="s">
        <v>1016</v>
      </c>
      <c r="BW4" t="s">
        <v>1011</v>
      </c>
      <c r="BY4" t="str">
        <f>'Translate&amp;Prices&amp;Logo'!$B$229</f>
        <v>Vpravo</v>
      </c>
      <c r="BZ4">
        <v>2</v>
      </c>
      <c r="CA4">
        <v>64</v>
      </c>
      <c r="CD4" t="s">
        <v>2154</v>
      </c>
      <c r="CE4">
        <v>1</v>
      </c>
      <c r="CF4">
        <v>0</v>
      </c>
      <c r="DN4" t="e">
        <f>IF(OR(Ram_5!$H$13&amp;Ram_5!$AU$7=Ram_5!$M$44,
Ram_5!$H$13&amp;Ram_5!$AU$7=Ram_5!$M$45,
Ram_5!$H$13&amp;Ram_5!$AU$7=Ram_5!$M$46,
Ram_5!$H$13&amp;Ram_5!$AU$7=Ram_5!$M$47),
'Translate&amp;Prices&amp;Logo'!B657,'Translate&amp;Prices&amp;Logo'!B555)</f>
        <v>#N/A</v>
      </c>
      <c r="ED4" t="s">
        <v>1651</v>
      </c>
      <c r="EE4" t="s">
        <v>3247</v>
      </c>
      <c r="EJ4">
        <v>2</v>
      </c>
      <c r="EK4" t="s">
        <v>114</v>
      </c>
      <c r="EN4" t="str">
        <f>'Translate&amp;Prices&amp;Logo'!B639</f>
        <v>Kalené (termín dodania 4 týždne)</v>
      </c>
      <c r="EO4">
        <v>2</v>
      </c>
      <c r="ER4" t="s">
        <v>2449</v>
      </c>
      <c r="ES4" t="s">
        <v>2450</v>
      </c>
      <c r="EV4">
        <v>4</v>
      </c>
      <c r="EW4" t="s">
        <v>2181</v>
      </c>
      <c r="EY4" s="213" t="str">
        <f>'Translate&amp;Prices&amp;Logo'!B166</f>
        <v>sieťka ocel biela - rozmer oka 8x4x1 mm</v>
      </c>
      <c r="FA4" s="34" t="str">
        <f>'Translate&amp;Prices&amp;Logo'!B646</f>
        <v>520407 SALICE AIR PUSH TO OPEN niklový závěs s adaptérem sada 2ks</v>
      </c>
    </row>
    <row r="5" spans="1:159">
      <c r="A5" t="str">
        <f>'Translate&amp;Prices&amp;Logo'!$B$9</f>
        <v>BRW biela lesk RAL 9003 - maximálna odporúčaná dĺžka profilu 2500 mm</v>
      </c>
      <c r="B5">
        <v>1</v>
      </c>
      <c r="C5" t="s">
        <v>651</v>
      </c>
      <c r="D5">
        <v>0</v>
      </c>
      <c r="F5" t="s">
        <v>957</v>
      </c>
      <c r="G5" t="s">
        <v>381</v>
      </c>
      <c r="H5" t="s">
        <v>951</v>
      </c>
      <c r="I5">
        <v>1</v>
      </c>
      <c r="J5">
        <v>2</v>
      </c>
      <c r="K5" t="s">
        <v>651</v>
      </c>
      <c r="M5" t="s">
        <v>958</v>
      </c>
      <c r="N5" t="s">
        <v>556</v>
      </c>
      <c r="X5" t="str">
        <f>'Translate&amp;Prices&amp;Logo'!$B$565</f>
        <v>čierna</v>
      </c>
      <c r="Y5">
        <v>3</v>
      </c>
      <c r="AA5" t="s">
        <v>954</v>
      </c>
      <c r="AB5" t="s">
        <v>2378</v>
      </c>
      <c r="AC5">
        <v>0</v>
      </c>
      <c r="AD5">
        <v>0</v>
      </c>
      <c r="AF5" t="s">
        <v>105</v>
      </c>
      <c r="AG5" t="s">
        <v>2379</v>
      </c>
      <c r="AY5" t="s">
        <v>984</v>
      </c>
      <c r="AZ5" t="s">
        <v>1018</v>
      </c>
      <c r="BK5" t="s">
        <v>961</v>
      </c>
      <c r="BV5" t="s">
        <v>2501</v>
      </c>
      <c r="BW5" t="s">
        <v>2502</v>
      </c>
      <c r="BY5" t="str">
        <f>'Translate&amp;Prices&amp;Logo'!$B$227</f>
        <v>Navrchu</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sieťka elox - rozmer oka 10x6x1 mm</v>
      </c>
      <c r="FA5" s="34" t="str">
        <f>'Translate&amp;Prices&amp;Logo'!B647</f>
        <v>520408 SALICE AIR SOFT niklový závěs s adaptérem sada 2ks</v>
      </c>
    </row>
    <row r="6" spans="1:159">
      <c r="A6" t="str">
        <f>'Translate&amp;Prices&amp;Logo'!$B$11</f>
        <v>BRW brúsené - maximálna odporúčaná dĺžka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čierna matt - maximálna odporúčaná dĺžka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čierna brúsená - maximálna odporúčaná dĺžka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svetlá nerez (INOX ACIER gratta)- maximálna odporúčaná dĺžka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maximálna odporúčaná dĺžka profilu 2500 mm</v>
      </c>
      <c r="B10">
        <v>1</v>
      </c>
      <c r="C10" t="s">
        <v>651</v>
      </c>
      <c r="D10">
        <v>0</v>
      </c>
      <c r="M10" t="str">
        <f>'Translate&amp;Prices&amp;Logo'!B558</f>
        <v>horizontálne (termín dodania 4 týždne)</v>
      </c>
      <c r="N10">
        <f>IF(Ram_5!$H$9=kombinace_5!M10,1,0)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maximálna odporúčaná dĺžka profilu 2500 mm</v>
      </c>
      <c r="B11">
        <v>1</v>
      </c>
      <c r="C11" t="s">
        <v>651</v>
      </c>
      <c r="D11">
        <v>0</v>
      </c>
      <c r="M11" t="str">
        <f>'Translate&amp;Prices&amp;Logo'!B559</f>
        <v>Vertikálne (termín dodania 4 týždne)</v>
      </c>
      <c r="N11">
        <f>IF(Ram_5!$H$9=kombinace_5!M11,2,0)</f>
        <v>0</v>
      </c>
      <c r="AC11">
        <v>0</v>
      </c>
      <c r="AD11">
        <v>0</v>
      </c>
      <c r="AF11" t="s">
        <v>105</v>
      </c>
      <c r="AG11" t="s">
        <v>969</v>
      </c>
      <c r="AY11" t="s">
        <v>954</v>
      </c>
      <c r="AZ11" t="s">
        <v>1023</v>
      </c>
      <c r="BQ11" s="215" t="s">
        <v>2267</v>
      </c>
      <c r="BY11">
        <v>5</v>
      </c>
      <c r="CA11">
        <v>240</v>
      </c>
      <c r="CD11" t="str">
        <f>CONCATENATE('Translate&amp;Prices&amp;Logo'!B664,"_K12")</f>
        <v>dolný_K12</v>
      </c>
      <c r="CE11">
        <v>1</v>
      </c>
      <c r="CF11">
        <v>0</v>
      </c>
      <c r="DN11" t="s">
        <v>69</v>
      </c>
      <c r="DO11" s="2" t="s">
        <v>69</v>
      </c>
      <c r="ED11" t="s">
        <v>1658</v>
      </c>
      <c r="EE11" t="s">
        <v>1752</v>
      </c>
      <c r="ER11" t="s">
        <v>2159</v>
      </c>
      <c r="ES11" t="s">
        <v>2165</v>
      </c>
    </row>
    <row r="12" spans="1:159">
      <c r="A12" t="str">
        <f>'Translate&amp;Prices&amp;Logo'!$B$70</f>
        <v>BRW champagne light - maximálna odporúčaná dĺžka profilu 2500 mm</v>
      </c>
      <c r="B12">
        <v>1</v>
      </c>
      <c r="C12" t="s">
        <v>651</v>
      </c>
      <c r="D12">
        <v>0</v>
      </c>
      <c r="M12" t="str">
        <f>'Translate&amp;Prices&amp;Logo'!B560</f>
        <v>Horizontálne aj vertikálne (termín dodania 4 týždne)</v>
      </c>
      <c r="N12">
        <f>IF(Ram_5!$H$9=kombinace_5!M12,3,0)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maximálna odporúčaná dĺžka profilu 2500 mm</v>
      </c>
      <c r="B13">
        <v>1</v>
      </c>
      <c r="C13" t="s">
        <v>651</v>
      </c>
      <c r="D13">
        <v>0</v>
      </c>
      <c r="AC13">
        <v>0</v>
      </c>
      <c r="AD13">
        <v>0</v>
      </c>
      <c r="AF13" t="s">
        <v>105</v>
      </c>
      <c r="AG13" t="s">
        <v>972</v>
      </c>
      <c r="AY13" t="s">
        <v>954</v>
      </c>
      <c r="AZ13" t="s">
        <v>1025</v>
      </c>
      <c r="BQ13" s="216"/>
      <c r="BR13" t="s">
        <v>966</v>
      </c>
      <c r="BY13" t="str">
        <f>'Translate&amp;Prices&amp;Logo'!$B$558</f>
        <v>horizontálne (termín dodania 4 týždne)</v>
      </c>
      <c r="BZ13">
        <v>1</v>
      </c>
      <c r="CA13">
        <v>288</v>
      </c>
      <c r="CD13" t="str">
        <f>CONCATENATE('Translate&amp;Prices&amp;Logo'!B664,"_kraby")</f>
        <v>dolný_kraby</v>
      </c>
      <c r="CE13">
        <v>1</v>
      </c>
      <c r="CF13">
        <v>0</v>
      </c>
      <c r="DN13" t="s">
        <v>220</v>
      </c>
      <c r="DO13" s="2" t="s">
        <v>68</v>
      </c>
      <c r="ED13" t="s">
        <v>2511</v>
      </c>
      <c r="EE13" t="s">
        <v>2510</v>
      </c>
      <c r="ER13" t="s">
        <v>2161</v>
      </c>
      <c r="ES13" t="s">
        <v>2161</v>
      </c>
    </row>
    <row r="14" spans="1:159">
      <c r="A14" t="str">
        <f>'Translate&amp;Prices&amp;Logo'!$B$16</f>
        <v>BRW tmavá nerez brúsená (INOX LIJA) - maximálna odporúčaná dĺžka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Vertikálne (termín dodania 4 týždne)</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maximálna odporúčaná dĺžka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Horizontálne aj vertikálne (termín dodania 4 týždne)</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maximálna odporúčaná dĺžka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StrongLift_horný</v>
      </c>
      <c r="CE16">
        <v>1</v>
      </c>
      <c r="CF16">
        <v>1</v>
      </c>
      <c r="DN16" t="s">
        <v>284</v>
      </c>
      <c r="DO16" s="2" t="s">
        <v>68</v>
      </c>
      <c r="ED16" t="s">
        <v>1662</v>
      </c>
      <c r="EE16" t="s">
        <v>1756</v>
      </c>
      <c r="ER16" t="s">
        <v>2450</v>
      </c>
      <c r="ES16" t="s">
        <v>2450</v>
      </c>
      <c r="FC16" s="251"/>
    </row>
    <row r="17" spans="1:159">
      <c r="A17" t="str">
        <f>'Translate&amp;Prices&amp;Logo'!$B$55</f>
        <v>BRW zlatá brúsená - maximálna odporúčaná dĺžka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StrongLift_spodný</v>
      </c>
      <c r="CE17">
        <v>1</v>
      </c>
      <c r="CF17">
        <v>1</v>
      </c>
      <c r="DN17" t="s">
        <v>1244</v>
      </c>
      <c r="DO17" s="2" t="s">
        <v>69</v>
      </c>
      <c r="ED17" t="s">
        <v>1663</v>
      </c>
      <c r="EE17" t="s">
        <v>1757</v>
      </c>
      <c r="ER17" t="s">
        <v>2452</v>
      </c>
      <c r="ES17" t="s">
        <v>2452</v>
      </c>
      <c r="FC17" s="251"/>
    </row>
    <row r="18" spans="1:159">
      <c r="A18" t="str">
        <f>'Translate&amp;Prices&amp;Logo'!$B$17</f>
        <v>Corleone (elox.) - maximálna odporúčaná dĺžka profilu 1500 mm</v>
      </c>
      <c r="B18">
        <v>2</v>
      </c>
      <c r="C18" t="s">
        <v>651</v>
      </c>
      <c r="D18">
        <v>0</v>
      </c>
      <c r="E18">
        <v>3</v>
      </c>
      <c r="F18" t="str">
        <f>'Translate&amp;Prices&amp;Logo'!$B$80</f>
        <v>Rocca elox (Vľavo a vpravo) + Varna elox (Hore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čierne mat - maximálna odporúčaná dĺžka profilu 1500 mm</v>
      </c>
      <c r="B19">
        <v>2</v>
      </c>
      <c r="C19" t="s">
        <v>651</v>
      </c>
      <c r="D19">
        <v>0</v>
      </c>
      <c r="F19" t="str">
        <f>'Translate&amp;Prices&amp;Logo'!$B$81</f>
        <v>Rocca čierna (Vľavo a vpravo) + Varna čierna (Hore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čierna mat - maximálna odporúčaná dĺžka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maximálna odporúčaná dĺžka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maximálna odporúčaná dĺžka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čierna mat - maximálna odporúčaná dĺžka profilu 2500 mm</v>
      </c>
      <c r="B23">
        <v>2</v>
      </c>
      <c r="C23" t="s">
        <v>998</v>
      </c>
      <c r="D23">
        <v>0</v>
      </c>
      <c r="AA23" t="s">
        <v>966</v>
      </c>
      <c r="AB23" t="e">
        <f>IF(Ram_5!AU7=2,"FREEspace","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biela matt RAL 9003 - maximálna odporúčaná dĺžka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maximálna odporúčaná dĺžka profilu 2150 mm</v>
      </c>
      <c r="B25">
        <v>2</v>
      </c>
      <c r="C25" t="s">
        <v>998</v>
      </c>
      <c r="D25">
        <v>0</v>
      </c>
      <c r="AF25" t="s">
        <v>105</v>
      </c>
      <c r="AG25" t="s">
        <v>980</v>
      </c>
      <c r="ED25" t="s">
        <v>1671</v>
      </c>
      <c r="EE25" t="s">
        <v>3259</v>
      </c>
      <c r="ER25" t="s">
        <v>2171</v>
      </c>
      <c r="ES25" t="s">
        <v>2171</v>
      </c>
    </row>
    <row r="26" spans="1:159">
      <c r="A26" t="str">
        <f>'Translate&amp;Prices&amp;Logo'!$B$22</f>
        <v>Modena (elox.) - maximálna odporúčaná dĺžka profilu 2500 mm</v>
      </c>
      <c r="B26">
        <v>2</v>
      </c>
      <c r="C26" t="s">
        <v>651</v>
      </c>
      <c r="D26">
        <v>0</v>
      </c>
      <c r="AF26" t="s">
        <v>106</v>
      </c>
      <c r="AG26" t="s">
        <v>980</v>
      </c>
      <c r="ED26" t="s">
        <v>1672</v>
      </c>
      <c r="EE26" t="s">
        <v>3260</v>
      </c>
      <c r="ER26" t="s">
        <v>2172</v>
      </c>
      <c r="ES26" t="s">
        <v>2172</v>
      </c>
    </row>
    <row r="27" spans="1:159">
      <c r="A27" t="str">
        <f>'Translate&amp;Prices&amp;Logo'!$B$23</f>
        <v>Modena čierna matt - maximálna odporúčaná dĺžka profilu 2500 mm</v>
      </c>
      <c r="B27">
        <v>2</v>
      </c>
      <c r="C27" t="s">
        <v>651</v>
      </c>
      <c r="D27">
        <v>0</v>
      </c>
      <c r="AF27" t="s">
        <v>105</v>
      </c>
      <c r="AG27" t="s">
        <v>981</v>
      </c>
      <c r="ED27" t="s">
        <v>1673</v>
      </c>
      <c r="EE27" t="s">
        <v>3262</v>
      </c>
      <c r="ER27" t="s">
        <v>2173</v>
      </c>
      <c r="ES27" t="s">
        <v>2173</v>
      </c>
    </row>
    <row r="28" spans="1:159">
      <c r="A28" t="str">
        <f>'Translate&amp;Prices&amp;Logo'!$B$25</f>
        <v>Modena čierna brúsená - maximálna odporúčaná dĺžka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brúsená LIJA - maximálna odporúčaná dĺžka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maximálna odporúčaná dĺžka profilu 2500 mm</v>
      </c>
      <c r="B30">
        <v>2</v>
      </c>
      <c r="C30" t="s">
        <v>651</v>
      </c>
      <c r="D30">
        <v>0</v>
      </c>
      <c r="AA30" t="s">
        <v>976</v>
      </c>
      <c r="AB30" t="str">
        <f>CONCATENATE('Translate&amp;Prices&amp;Logo'!B664,"_K12")</f>
        <v>dolný_K12</v>
      </c>
      <c r="AC30">
        <v>1</v>
      </c>
      <c r="AD30">
        <v>0</v>
      </c>
      <c r="AF30" t="s">
        <v>106</v>
      </c>
      <c r="AG30" t="s">
        <v>982</v>
      </c>
      <c r="ED30" t="s">
        <v>1676</v>
      </c>
      <c r="EE30" t="s">
        <v>3265</v>
      </c>
      <c r="ER30" t="s">
        <v>2463</v>
      </c>
      <c r="ES30" t="s">
        <v>2463</v>
      </c>
    </row>
    <row r="31" spans="1:159">
      <c r="A31" t="str">
        <f>'Translate&amp;Prices&amp;Logo'!$B$29</f>
        <v>Pisa (elox.) - maximálna odporúčaná dĺžka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biela mat RAL 9003 - maximálna odporúčaná dĺžka profilu 2500 mm</v>
      </c>
      <c r="B32">
        <v>2</v>
      </c>
      <c r="C32" t="s">
        <v>998</v>
      </c>
      <c r="D32">
        <v>0</v>
      </c>
      <c r="AA32" t="s">
        <v>976</v>
      </c>
      <c r="AB32" t="str">
        <f>CONCATENATE('Translate&amp;Prices&amp;Logo'!B664,"_kraby")</f>
        <v>dolný_kraby</v>
      </c>
      <c r="AC32">
        <v>1</v>
      </c>
      <c r="AD32">
        <v>0</v>
      </c>
      <c r="AF32" t="s">
        <v>106</v>
      </c>
      <c r="AG32" t="s">
        <v>983</v>
      </c>
      <c r="BY32" t="str">
        <f>'Translate&amp;Prices&amp;Logo'!$B$230</f>
        <v>Vľavo</v>
      </c>
      <c r="BZ32" t="str">
        <f>'Translate&amp;Prices&amp;Logo'!$B$589</f>
        <v>(Spodného)</v>
      </c>
      <c r="CA32" t="str">
        <f>'Translate&amp;Prices&amp;Logo'!$B$591</f>
        <v>(Horného)</v>
      </c>
      <c r="CC32" t="str">
        <f>'Translate&amp;Prices&amp;Logo'!$O$589</f>
        <v>(dolnej)</v>
      </c>
      <c r="CD32" t="str">
        <f>'Translate&amp;Prices&amp;Logo'!$O$591</f>
        <v>(górnej)</v>
      </c>
      <c r="ED32" t="s">
        <v>1678</v>
      </c>
      <c r="EE32" t="s">
        <v>3267</v>
      </c>
      <c r="ER32" t="s">
        <v>2465</v>
      </c>
      <c r="ES32" t="s">
        <v>2465</v>
      </c>
    </row>
    <row r="33" spans="1:149">
      <c r="A33" t="str">
        <f>'Translate&amp;Prices&amp;Logo'!$B$53</f>
        <v>Pisa biela lesk RAL 9003 - maximálna odporúčaná dĺžka profilu 2500 mm</v>
      </c>
      <c r="B33">
        <v>2</v>
      </c>
      <c r="C33" t="s">
        <v>998</v>
      </c>
      <c r="D33">
        <v>0</v>
      </c>
      <c r="AA33" t="s">
        <v>976</v>
      </c>
      <c r="AB33" t="s">
        <v>980</v>
      </c>
      <c r="AC33">
        <v>1</v>
      </c>
      <c r="AD33">
        <v>0</v>
      </c>
      <c r="AF33" t="s">
        <v>105</v>
      </c>
      <c r="AG33" t="s">
        <v>985</v>
      </c>
      <c r="BY33" t="str">
        <f>'Translate&amp;Prices&amp;Logo'!$B$229</f>
        <v>Vpravo</v>
      </c>
      <c r="BZ33" t="str">
        <f>'Translate&amp;Prices&amp;Logo'!$B$589</f>
        <v>(Spodného)</v>
      </c>
      <c r="CA33" t="str">
        <f>'Translate&amp;Prices&amp;Logo'!$B$591</f>
        <v>(Horného)</v>
      </c>
      <c r="CC33" t="str">
        <f>'Translate&amp;Prices&amp;Logo'!$O$589</f>
        <v>(dolnej)</v>
      </c>
      <c r="CD33" t="str">
        <f>'Translate&amp;Prices&amp;Logo'!$O$591</f>
        <v>(górnej)</v>
      </c>
      <c r="ED33" t="s">
        <v>1679</v>
      </c>
      <c r="EE33" t="s">
        <v>3268</v>
      </c>
      <c r="ER33" t="s">
        <v>2466</v>
      </c>
      <c r="ES33" t="s">
        <v>2466</v>
      </c>
    </row>
    <row r="34" spans="1:149">
      <c r="A34" t="str">
        <f>'Translate&amp;Prices&amp;Logo'!$B$30</f>
        <v>Pisa čierna matt - maximálna odporúčaná dĺžka profilu 2500 mm</v>
      </c>
      <c r="B34">
        <v>2</v>
      </c>
      <c r="C34" t="s">
        <v>998</v>
      </c>
      <c r="D34">
        <v>0</v>
      </c>
      <c r="AA34" t="s">
        <v>976</v>
      </c>
      <c r="AB34" t="s">
        <v>981</v>
      </c>
      <c r="AC34">
        <v>1</v>
      </c>
      <c r="AD34">
        <v>0</v>
      </c>
      <c r="AF34" t="s">
        <v>106</v>
      </c>
      <c r="AG34" t="s">
        <v>985</v>
      </c>
      <c r="BY34" t="str">
        <f>'Translate&amp;Prices&amp;Logo'!$B$227</f>
        <v>Navrchu</v>
      </c>
      <c r="BZ34" t="str">
        <f>'Translate&amp;Prices&amp;Logo'!$B$590</f>
        <v>(Ľavého)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maximálna odporúčaná dĺžka profilu 2150 mm</v>
      </c>
      <c r="B35">
        <v>2</v>
      </c>
      <c r="C35" t="s">
        <v>998</v>
      </c>
      <c r="D35">
        <v>0</v>
      </c>
      <c r="BY35" t="str">
        <f>'Translate&amp;Prices&amp;Logo'!$B$228</f>
        <v>Dole</v>
      </c>
      <c r="BZ35" t="str">
        <f>'Translate&amp;Prices&amp;Logo'!$B$590</f>
        <v>(Ľavého)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maximálna odporúčaná dĺžka profilu 2150 mm</v>
      </c>
      <c r="B36">
        <v>1</v>
      </c>
      <c r="C36" t="s">
        <v>651</v>
      </c>
      <c r="D36">
        <v>0</v>
      </c>
      <c r="ED36" t="s">
        <v>1620</v>
      </c>
      <c r="EE36" t="s">
        <v>1776</v>
      </c>
      <c r="ER36" t="s">
        <v>2176</v>
      </c>
      <c r="ES36" t="s">
        <v>2176</v>
      </c>
    </row>
    <row r="37" spans="1:149">
      <c r="A37" t="str">
        <f>'Translate&amp;Prices&amp;Logo'!$B$42</f>
        <v>Rocca čierna mat - maximálna odporúčaná dĺžka profilu 2150 mm</v>
      </c>
      <c r="B37">
        <v>1</v>
      </c>
      <c r="C37" t="s">
        <v>651</v>
      </c>
      <c r="D37">
        <v>0</v>
      </c>
      <c r="BY37" t="s">
        <v>1332</v>
      </c>
      <c r="ED37" t="s">
        <v>1621</v>
      </c>
      <c r="EE37" t="s">
        <v>1777</v>
      </c>
      <c r="ER37" t="s">
        <v>2219</v>
      </c>
      <c r="ES37" t="s">
        <v>2213</v>
      </c>
    </row>
    <row r="38" spans="1:149">
      <c r="A38" t="str">
        <f>'Translate&amp;Prices&amp;Logo'!$B$63</f>
        <v>Treviso čierna matt - maximálna odporúčaná dĺžka profilu 2750 mm</v>
      </c>
      <c r="B38">
        <v>1</v>
      </c>
      <c r="C38" t="s">
        <v>651</v>
      </c>
      <c r="D38">
        <v>0</v>
      </c>
      <c r="ED38" t="s">
        <v>1622</v>
      </c>
      <c r="EE38" t="s">
        <v>1778</v>
      </c>
      <c r="ER38" t="s">
        <v>2220</v>
      </c>
      <c r="ES38" t="s">
        <v>2214</v>
      </c>
    </row>
    <row r="39" spans="1:149">
      <c r="A39" t="str">
        <f>'Translate&amp;Prices&amp;Logo'!$B$34</f>
        <v>Verona (elox.) - maximálna odporúčaná dĺžka profilu 2500 mm</v>
      </c>
      <c r="B39">
        <v>1</v>
      </c>
      <c r="C39" t="s">
        <v>651</v>
      </c>
      <c r="D39">
        <v>0</v>
      </c>
      <c r="AA39" t="s">
        <v>2504</v>
      </c>
      <c r="AB39" t="s">
        <v>2502</v>
      </c>
      <c r="ED39" t="s">
        <v>1623</v>
      </c>
      <c r="EE39" t="s">
        <v>1779</v>
      </c>
      <c r="ER39" t="s">
        <v>2221</v>
      </c>
      <c r="ES39" t="s">
        <v>2215</v>
      </c>
    </row>
    <row r="40" spans="1:149">
      <c r="A40" t="str">
        <f>'Translate&amp;Prices&amp;Logo'!$B$35</f>
        <v>Verona brúsená - maximálna odporúčaná dĺžka profilu 2500 mm</v>
      </c>
      <c r="B40">
        <v>1</v>
      </c>
      <c r="C40" t="s">
        <v>651</v>
      </c>
      <c r="D40">
        <v>0</v>
      </c>
      <c r="AA40" t="s">
        <v>2504</v>
      </c>
      <c r="AB40" t="str">
        <f>'Translate&amp;Prices&amp;Logo'!B659</f>
        <v>StrongLift_horný</v>
      </c>
      <c r="AC40">
        <v>1</v>
      </c>
      <c r="AD40">
        <v>0</v>
      </c>
      <c r="ED40" t="s">
        <v>1624</v>
      </c>
      <c r="EE40" t="s">
        <v>1780</v>
      </c>
      <c r="ER40" t="s">
        <v>2222</v>
      </c>
      <c r="ES40" t="s">
        <v>2216</v>
      </c>
    </row>
    <row r="41" spans="1:149">
      <c r="A41" t="str">
        <f>'Translate&amp;Prices&amp;Logo'!$B$37</f>
        <v>Verona čierna mat - maximálna odporúčaná dĺžka profilu 2500 mm</v>
      </c>
      <c r="B41">
        <v>1</v>
      </c>
      <c r="C41" t="s">
        <v>651</v>
      </c>
      <c r="D41">
        <v>0</v>
      </c>
      <c r="AB41" t="str">
        <f>'Translate&amp;Prices&amp;Logo'!B660</f>
        <v>StrongLift_spodný</v>
      </c>
      <c r="AC41">
        <v>1</v>
      </c>
      <c r="AD41">
        <v>0</v>
      </c>
      <c r="ED41" t="s">
        <v>1625</v>
      </c>
      <c r="EE41" t="s">
        <v>1781</v>
      </c>
      <c r="ER41" t="s">
        <v>2223</v>
      </c>
      <c r="ES41" t="s">
        <v>2217</v>
      </c>
    </row>
    <row r="42" spans="1:149">
      <c r="A42" t="str">
        <f>'Translate&amp;Prices&amp;Logo'!$B$36</f>
        <v>Verona čierna lesk - maximálna odporúčaná dĺžka profilu 2500 mm</v>
      </c>
      <c r="B42">
        <v>1</v>
      </c>
      <c r="C42" t="s">
        <v>651</v>
      </c>
      <c r="D42">
        <v>0</v>
      </c>
      <c r="AA42" t="s">
        <v>2086</v>
      </c>
      <c r="AB42" t="s">
        <v>1010</v>
      </c>
      <c r="ED42" t="s">
        <v>1626</v>
      </c>
      <c r="EE42" t="s">
        <v>1782</v>
      </c>
      <c r="ER42" t="s">
        <v>2224</v>
      </c>
      <c r="ES42" t="s">
        <v>2218</v>
      </c>
    </row>
    <row r="43" spans="1:149">
      <c r="A43" t="str">
        <f>'Translate&amp;Prices&amp;Logo'!$B$38</f>
        <v>Verona hnědá - maximálna odporúčaná dĺžka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maximálna odporúčaná dĺžka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nerez brúsená - maximálna odporúčaná dĺžka profilu 2500 mm</v>
      </c>
      <c r="B45">
        <v>1</v>
      </c>
      <c r="C45" t="s">
        <v>651</v>
      </c>
      <c r="D45">
        <v>0</v>
      </c>
      <c r="AB45" t="s">
        <v>1111</v>
      </c>
      <c r="AC45">
        <v>0</v>
      </c>
      <c r="AD45">
        <v>0</v>
      </c>
      <c r="ED45" t="s">
        <v>1629</v>
      </c>
      <c r="EE45" t="s">
        <v>1785</v>
      </c>
      <c r="ER45" t="s">
        <v>2243</v>
      </c>
      <c r="ES45" t="s">
        <v>2237</v>
      </c>
    </row>
    <row r="46" spans="1:149">
      <c r="A46" t="str">
        <f>'Translate&amp;Prices&amp;Logo'!$B$41</f>
        <v>Verona svetlá nerez brúsená Acier - maximálna odporúčaná dĺžka profilu 2500 mm</v>
      </c>
      <c r="B46">
        <v>1</v>
      </c>
      <c r="C46" t="s">
        <v>651</v>
      </c>
      <c r="D46">
        <v>0</v>
      </c>
      <c r="ED46" t="s">
        <v>1630</v>
      </c>
      <c r="EE46" t="s">
        <v>1786</v>
      </c>
      <c r="ER46" t="s">
        <v>2244</v>
      </c>
      <c r="ES46" t="s">
        <v>2238</v>
      </c>
    </row>
    <row r="47" spans="1:149">
      <c r="A47" t="str">
        <f>'Translate&amp;Prices&amp;Logo'!$B$62</f>
        <v>Verona Ivory mat - maximálna odporúčaná dĺžka profilu 2150 mm</v>
      </c>
      <c r="B47">
        <v>1</v>
      </c>
      <c r="C47" t="s">
        <v>651</v>
      </c>
      <c r="D47">
        <v>0</v>
      </c>
      <c r="ED47" t="s">
        <v>1631</v>
      </c>
      <c r="EE47" t="s">
        <v>1787</v>
      </c>
      <c r="ER47" t="s">
        <v>2245</v>
      </c>
      <c r="ES47" t="s">
        <v>2239</v>
      </c>
    </row>
    <row r="48" spans="1:149">
      <c r="A48" t="str">
        <f>'Translate&amp;Prices&amp;Logo'!$B$65</f>
        <v>Verona kašmír - maximálna odporúčaná dĺžka profilu 2150 mm</v>
      </c>
      <c r="B48">
        <v>1</v>
      </c>
      <c r="C48" t="s">
        <v>651</v>
      </c>
      <c r="D48">
        <v>0</v>
      </c>
      <c r="ED48" t="s">
        <v>1632</v>
      </c>
      <c r="EE48" t="s">
        <v>1788</v>
      </c>
      <c r="ER48" t="s">
        <v>2246</v>
      </c>
      <c r="ES48" t="s">
        <v>2240</v>
      </c>
    </row>
    <row r="49" spans="1:149">
      <c r="A49" t="str">
        <f>'Translate&amp;Prices&amp;Logo'!$B$24</f>
        <v>Verona zlatá - maximálna odporúčaná dĺžka profilu 2150 mm</v>
      </c>
      <c r="B49">
        <v>1</v>
      </c>
      <c r="C49" t="s">
        <v>651</v>
      </c>
      <c r="D49">
        <v>0</v>
      </c>
      <c r="AA49" t="s">
        <v>2087</v>
      </c>
      <c r="AB49" t="s">
        <v>2089</v>
      </c>
      <c r="ED49" t="s">
        <v>1633</v>
      </c>
      <c r="EE49" t="s">
        <v>1789</v>
      </c>
      <c r="ER49" t="s">
        <v>2247</v>
      </c>
      <c r="ES49" t="s">
        <v>2241</v>
      </c>
    </row>
    <row r="50" spans="1:149">
      <c r="A50" t="str">
        <f>'Translate&amp;Prices&amp;Logo'!$B$56</f>
        <v>Verona zlatá brúsená - maximálna odporúčaná dĺžka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maximálna odporúčaná dĺžka profilu 2500 mm</v>
      </c>
      <c r="B51">
        <v>2</v>
      </c>
      <c r="C51" t="s">
        <v>651</v>
      </c>
      <c r="D51">
        <v>1</v>
      </c>
      <c r="AB51" t="s">
        <v>2380</v>
      </c>
      <c r="AC51">
        <v>0</v>
      </c>
      <c r="AD51">
        <v>0</v>
      </c>
      <c r="ED51" t="s">
        <v>1635</v>
      </c>
      <c r="EE51" t="s">
        <v>1791</v>
      </c>
      <c r="ER51" t="s">
        <v>2477</v>
      </c>
      <c r="ES51" t="s">
        <v>2469</v>
      </c>
    </row>
    <row r="52" spans="1:149">
      <c r="A52" t="str">
        <f>'Translate&amp;Prices&amp;Logo'!$B$44</f>
        <v>Vivaro čierne mat - maximálna odporúčaná dĺžka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maximálna odporúčaná dĺžka profilu 2500 mm</v>
      </c>
      <c r="B53">
        <v>2</v>
      </c>
      <c r="C53" t="s">
        <v>651</v>
      </c>
      <c r="D53">
        <v>0</v>
      </c>
      <c r="AB53" t="s">
        <v>2376</v>
      </c>
      <c r="AC53">
        <v>0</v>
      </c>
      <c r="AD53">
        <v>0</v>
      </c>
      <c r="ED53" t="s">
        <v>1637</v>
      </c>
      <c r="EE53" t="s">
        <v>1793</v>
      </c>
      <c r="ER53" t="s">
        <v>2479</v>
      </c>
      <c r="ES53" t="s">
        <v>2471</v>
      </c>
    </row>
    <row r="54" spans="1:149">
      <c r="A54" t="str">
        <f>'Translate&amp;Prices&amp;Logo'!$B$47</f>
        <v>Vivaro biela matt RAL 9003 - maximálna odporúčaná dĺžka profilu 2500 mm</v>
      </c>
      <c r="B54">
        <v>2</v>
      </c>
      <c r="C54" t="s">
        <v>651</v>
      </c>
      <c r="D54">
        <v>0</v>
      </c>
      <c r="ED54" t="s">
        <v>1638</v>
      </c>
      <c r="EE54" t="s">
        <v>1794</v>
      </c>
      <c r="ER54" t="s">
        <v>2480</v>
      </c>
      <c r="ES54" t="s">
        <v>2472</v>
      </c>
    </row>
    <row r="55" spans="1:149">
      <c r="A55" t="str">
        <f>'Translate&amp;Prices&amp;Logo'!$B$48</f>
        <v>Vivaro biela lesk RAL 9003 - maximálna odporúčaná dĺžka profilu 2500 mm</v>
      </c>
      <c r="B55">
        <v>2</v>
      </c>
      <c r="C55" t="s">
        <v>651</v>
      </c>
      <c r="D55">
        <v>0</v>
      </c>
      <c r="ED55" t="s">
        <v>1639</v>
      </c>
      <c r="EE55" t="s">
        <v>1795</v>
      </c>
      <c r="ER55" t="s">
        <v>2481</v>
      </c>
      <c r="ES55" t="s">
        <v>2473</v>
      </c>
    </row>
    <row r="56" spans="1:149">
      <c r="A56" t="str">
        <f>'Translate&amp;Prices&amp;Logo'!$B$31</f>
        <v>Vivaro zlatá - maximálna odporúčaná dĺžka profilu 2150 mm</v>
      </c>
      <c r="B56">
        <v>2</v>
      </c>
      <c r="C56" t="s">
        <v>651</v>
      </c>
      <c r="D56">
        <v>1</v>
      </c>
      <c r="ED56" t="s">
        <v>1640</v>
      </c>
      <c r="EE56" t="s">
        <v>1796</v>
      </c>
      <c r="ER56" t="s">
        <v>2482</v>
      </c>
      <c r="ES56" t="s">
        <v>2474</v>
      </c>
    </row>
    <row r="57" spans="1:149">
      <c r="A57" t="str">
        <f>'Translate&amp;Prices&amp;Logo'!$B$57</f>
        <v>Vivaro zlatá brúsená - maximálna odporúčaná dĺžka profilu 2150 mm</v>
      </c>
      <c r="B57">
        <v>2</v>
      </c>
      <c r="C57" t="s">
        <v>651</v>
      </c>
      <c r="D57">
        <v>0</v>
      </c>
      <c r="ED57" t="s">
        <v>1641</v>
      </c>
      <c r="EE57" t="s">
        <v>1797</v>
      </c>
      <c r="ER57" t="s">
        <v>2225</v>
      </c>
      <c r="ES57" t="s">
        <v>2213</v>
      </c>
    </row>
    <row r="58" spans="1:149">
      <c r="A58" t="str">
        <f>'Translate&amp;Prices&amp;Logo'!$B$80</f>
        <v>Rocca elox (Vľavo a vpravo) + Varna elox (Hore a dole)</v>
      </c>
      <c r="B58">
        <v>3</v>
      </c>
      <c r="C58" t="s">
        <v>651</v>
      </c>
      <c r="D58">
        <v>0</v>
      </c>
      <c r="ED58" t="s">
        <v>1642</v>
      </c>
      <c r="EE58" t="s">
        <v>1798</v>
      </c>
      <c r="ER58" t="s">
        <v>2226</v>
      </c>
      <c r="ES58" t="s">
        <v>2214</v>
      </c>
    </row>
    <row r="59" spans="1:149">
      <c r="A59" t="str">
        <f>'Translate&amp;Prices&amp;Logo'!$B$81</f>
        <v>Rocca čierna (Vľavo a vpravo) + Varna čierna (Hore a dole)</v>
      </c>
      <c r="B59">
        <v>3</v>
      </c>
      <c r="C59" t="s">
        <v>651</v>
      </c>
      <c r="D59">
        <v>0</v>
      </c>
      <c r="AA59" t="s">
        <v>2088</v>
      </c>
      <c r="AB59" t="s">
        <v>2090</v>
      </c>
      <c r="ED59" t="s">
        <v>1643</v>
      </c>
      <c r="EE59" t="s">
        <v>1799</v>
      </c>
      <c r="ER59" t="s">
        <v>2227</v>
      </c>
      <c r="ES59" t="s">
        <v>2215</v>
      </c>
    </row>
    <row r="60" spans="1:149">
      <c r="A60" t="str">
        <f>'Translate&amp;Prices&amp;Logo'!$B$71</f>
        <v>ROMA čierna mat - maximálna odporúčaná dĺžka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maximálna odporúčaná dĺžka profilu 2696 mm</v>
      </c>
      <c r="B61">
        <v>1</v>
      </c>
      <c r="C61" t="s">
        <v>651</v>
      </c>
      <c r="D61">
        <v>0</v>
      </c>
      <c r="AB61" t="s">
        <v>970</v>
      </c>
      <c r="AC61">
        <v>0</v>
      </c>
      <c r="AD61">
        <v>0</v>
      </c>
      <c r="ED61" t="s">
        <v>1645</v>
      </c>
      <c r="EE61" t="s">
        <v>1801</v>
      </c>
      <c r="ER61" t="s">
        <v>2229</v>
      </c>
      <c r="ES61" t="s">
        <v>2217</v>
      </c>
    </row>
    <row r="62" spans="1:149">
      <c r="A62" t="str">
        <f>'Translate&amp;Prices&amp;Logo'!$B$73</f>
        <v>ROMA GRIP čierna mat - maximálna odporúčaná dĺžka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maximálna odporúčaná dĺžka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maximálna odporúčaná dĺžka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"&amp;6</f>
        <v>Rámček  6</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IFERROR(IF(kombinace_6!FC2=TRUE,'Translate&amp;Prices&amp;Logo'!B654,IF(VLOOKUP(H8,kombinace_6!$A:$E,5,0)=3,'Translate&amp;Prices&amp;Logo'!B642,"")),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Rámček  1</v>
      </c>
      <c r="C5" s="634"/>
      <c r="D5" s="634"/>
      <c r="E5" s="106"/>
      <c r="F5" s="634" t="str">
        <f>'Translate&amp;Prices&amp;Logo'!$B$169&amp;" "&amp;" "&amp;2</f>
        <v>Rámček  2</v>
      </c>
      <c r="G5" s="634"/>
      <c r="H5" s="634"/>
      <c r="I5" s="9"/>
      <c r="J5" s="634" t="str">
        <f>'Translate&amp;Prices&amp;Logo'!$B$169&amp;" "&amp;" "&amp;3</f>
        <v>Rámček  3</v>
      </c>
      <c r="K5" s="634"/>
      <c r="L5" s="634"/>
      <c r="M5" s="9"/>
      <c r="N5" s="634" t="str">
        <f>'Translate&amp;Prices&amp;Logo'!$B$169&amp;" "&amp;" "&amp;4</f>
        <v>Rámček  4</v>
      </c>
      <c r="O5" s="634"/>
      <c r="P5" s="634"/>
      <c r="Q5" s="9"/>
      <c r="R5" s="634" t="str">
        <f>'Translate&amp;Prices&amp;Logo'!$B$169&amp;" "&amp;" "&amp;5</f>
        <v>Rámček  5</v>
      </c>
      <c r="S5" s="634"/>
      <c r="T5" s="634"/>
      <c r="U5" s="9"/>
      <c r="V5" s="634" t="str">
        <f>'Translate&amp;Prices&amp;Logo'!$B$169&amp;" "&amp;" "&amp;6</f>
        <v>Rámček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Kombinácia 2 profilov</v>
      </c>
      <c r="C7" s="667"/>
      <c r="D7" s="667"/>
      <c r="E7" s="667"/>
      <c r="F7" s="667"/>
      <c r="G7" s="616" t="str">
        <f>IF(kombinace_6!FC2=TRUE,AB4,"")</f>
        <v/>
      </c>
      <c r="H7" s="616"/>
      <c r="I7" s="616"/>
      <c r="J7" s="616"/>
      <c r="K7" s="616"/>
      <c r="L7" s="616"/>
      <c r="M7" s="616"/>
      <c r="N7" s="616"/>
      <c r="O7" s="616"/>
      <c r="P7" s="616"/>
      <c r="Q7" s="617"/>
      <c r="R7" s="231"/>
      <c r="S7" s="602" t="str">
        <f>'Translate&amp;Prices&amp;Logo'!$B$572</f>
        <v>Upozornenie: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VLOOKUP(H8,kombinace_6!$A3:$B100,2,0)</f>
        <v>#N/A</v>
      </c>
      <c r="AV7" s="140" t="e">
        <f>IF(AU7=2,"Široký",IF(AU7=1,"Úzký",IF(AU7=3,"kombo")))</f>
        <v>#N/A</v>
      </c>
    </row>
    <row r="8" spans="1:65" ht="45.6" customHeight="1">
      <c r="A8" s="61"/>
      <c r="B8" s="223" t="str">
        <f>'Translate&amp;Prices&amp;Logo'!$B$653</f>
        <v>Výplň rámčeka sieťka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IF(AU10&gt;0,'Translate&amp;Prices&amp;Logo'!B303,IF(H8=kombinace_6!A59,'Translate&amp;Prices&amp;Logo'!B580,0))</f>
        <v>0</v>
      </c>
      <c r="T8" s="654"/>
      <c r="U8" s="654"/>
      <c r="V8" s="654"/>
      <c r="W8" s="654"/>
      <c r="X8" s="654"/>
      <c r="Y8" s="655"/>
      <c r="Z8" s="80"/>
      <c r="AA8" s="76"/>
      <c r="AB8" s="9"/>
      <c r="AC8" s="584" t="str">
        <f>'Translate&amp;Prices&amp;Logo'!$B$242</f>
        <v>Vzdialenosť od ľavého kraja</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IFERROR(IF(AND(VLOOKUP(H8,kombinace_6!$A:$D,4,0)=1,kombinace_6!FC2=FALSE),'Translate&amp;Prices&amp;Logo'!$B$543,0),0)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IFERROR((VLOOKUP(H12,kombinace_6!$DP$2:$DQ$3,2,0)),"")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Vzdialenosť od horného okraja</v>
      </c>
      <c r="AF10" s="9"/>
      <c r="AG10" s="9"/>
      <c r="AH10" s="9"/>
      <c r="AI10" s="60"/>
      <c r="AJ10" s="61"/>
      <c r="AK10" s="9"/>
      <c r="AL10" s="9"/>
      <c r="AM10" s="9"/>
      <c r="AN10" s="9"/>
      <c r="AO10" s="9"/>
      <c r="AP10" s="77"/>
      <c r="AQ10" s="314"/>
      <c r="AR10" s="9"/>
      <c r="AS10" s="9"/>
      <c r="AT10" s="139" t="s">
        <v>1196</v>
      </c>
      <c r="AU10" s="140">
        <f>IFERROR(VLOOKUP(H9,kombinace_6!$BY$13:$BZ$15,2,0),0)</f>
        <v>0</v>
      </c>
      <c r="AV10" s="140"/>
    </row>
    <row r="11" spans="1:65" ht="18" customHeight="1">
      <c r="A11" s="61"/>
      <c r="B11" s="642" t="str">
        <f>('Translate&amp;Prices&amp;Logo'!$B$543)&amp;" "&amp;"("&amp;'Translate&amp;Prices&amp;Logo'!$B$174&amp;")"</f>
        <v>Deliace lišty (Počet kusov)</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IFERROR(IF(kombinace_6!$H$1=TRUE,BA2+AY3,0),0)</f>
        <v>0</v>
      </c>
      <c r="AU11" s="146"/>
      <c r="AV11" s="140"/>
    </row>
    <row r="12" spans="1:65" ht="18" customHeight="1">
      <c r="A12" s="61"/>
      <c r="B12" s="585" t="str">
        <f>'Translate&amp;Prices&amp;Logo'!$B$258</f>
        <v>Typ kovania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kovania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 kovania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IF(H15=kombinace_6!AB40,'Translate&amp;Prices&amp;Logo'!$B$224,IF(H15=kombinace_6!AB41,'Translate&amp;Prices&amp;Logo'!$B$224,IF(H12='závěsy dle výklopu'!BQ2,'Translate&amp;Prices&amp;Logo'!$B$222,'Translate&amp;Prices&amp;Logo'!$B$218)))</f>
        <v>Výber pozície rámčeku</v>
      </c>
      <c r="C16" s="641"/>
      <c r="D16" s="641"/>
      <c r="E16" s="641"/>
      <c r="F16" s="639"/>
      <c r="G16" s="639"/>
      <c r="H16" s="639"/>
      <c r="I16" s="639"/>
      <c r="J16" s="659" t="str">
        <f>IF(OR(H15=kombinace_6!AB40,H15=kombinace_6!AB7,H15=kombinace_6!AB15,H15=kombinace_6!AB20,H15=kombinace_6!AB21,H15=kombinace_6!AB22),'Translate&amp;Prices&amp;Logo'!$B$226,IF(H15=kombinace_6!AB41,'Translate&amp;Prices&amp;Logo'!$B$226,'Translate&amp;Prices&amp;Logo'!$B$232))</f>
        <v>Vyhotovenie druhého dvierka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IF(H12='Translate&amp;Prices&amp;Logo'!B551,'Translate&amp;Prices&amp;Logo'!B238,IF(H15=kombinace_6!AB8,'Translate&amp;Prices&amp;Logo'!B284,0))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85">
        <f>IFERROR(IF(VLOOKUP(H15,kombinace_6!CD:CE,2,0)=1,'Translate&amp;Prices&amp;Logo'!$B$547,0),0)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IFERROR(IF(H12='Translate&amp;Prices&amp;Logo'!B551,'Translate&amp;Prices&amp;Logo'!$B$223,IF(VLOOKUP(H15,kombinace_6!CD:CE,2,0)=1,'Translate&amp;Prices&amp;Logo'!$B$223,)),0)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Vzdialenosť od spodného okraja</v>
      </c>
      <c r="AM19" s="629"/>
      <c r="AN19" s="620">
        <v>0</v>
      </c>
      <c r="AO19" s="620"/>
      <c r="AP19" s="76"/>
      <c r="AQ19" s="314"/>
      <c r="AR19" s="675" t="str">
        <f>'Translate&amp;Prices&amp;Logo'!$B$176</f>
        <v>Výška</v>
      </c>
      <c r="AS19" s="9"/>
      <c r="AT19" s="146"/>
      <c r="AU19" s="138">
        <f>IFERROR(IF(H12='závěsy dle výklopu'!BR2,VLOOKUP(H15,kombinace_6!$CD$3:$CF$18,3,0),IF(H12='závěsy dle výklopu'!BQ2,1,0)),0)</f>
        <v>0</v>
      </c>
      <c r="AV19" s="140">
        <f>IFERROR(VLOOKUP(H15,kombinace_6!$CD:$CF,3,0),0)</f>
        <v>0</v>
      </c>
    </row>
    <row r="20" spans="1:52" ht="18" customHeight="1">
      <c r="A20" s="61"/>
      <c r="B20" s="644">
        <f>IF(H13&lt;&gt;"Salice",(IFERROR('Translate&amp;Prices&amp;Logo'!$B$242&amp;" "&amp;(VLOOKUP(H17,kombinace_6!$BY$32:$CA$35,2,0)),0)),0)</f>
        <v>0</v>
      </c>
      <c r="C20" s="583"/>
      <c r="D20" s="583"/>
      <c r="E20" s="583"/>
      <c r="F20" s="638">
        <v>100</v>
      </c>
      <c r="G20" s="638"/>
      <c r="H20" s="638"/>
      <c r="I20" s="638"/>
      <c r="J20" s="583">
        <f>IFERROR('Translate&amp;Prices&amp;Logo'!$B$242&amp;" "&amp;(VLOOKUP(H17,kombinace_6!$BY$32:$CA$35,3,0)),0)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IF(kombinace_6!FC2=FALSE,'Translate&amp;Prices&amp;Logo'!$B$173," ")</f>
        <v>Typ upravy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Už nemeniť po tom čo vyberiete typ skla/sieťky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VLOOKUP(H17,kombinace_6!$BY$3:$BZ$6,2,0)</f>
        <v>#N/A</v>
      </c>
      <c r="AV23" s="140"/>
    </row>
    <row r="24" spans="1:52" ht="18" customHeight="1">
      <c r="A24" s="61"/>
      <c r="B24" s="614" t="str">
        <f>'Translate&amp;Prices&amp;Logo'!$B$562</f>
        <v>Typ fólie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Vzdialenosť od ľavého kraja</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skla/sieťky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VLOOKUP(H27,kombinace_6!$BY3:$BZ6,2,0)</f>
        <v>#N/A</v>
      </c>
      <c r="AV25" s="140"/>
    </row>
    <row r="26" spans="1:52" ht="18" customHeight="1">
      <c r="A26" s="61"/>
      <c r="B26" s="585" t="str">
        <f>'Translate&amp;Prices&amp;Logo'!$B$549</f>
        <v>Rozteč úchytiek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Umiestnenie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kusov</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Dodať vrátane uvedeného kovania -&gt; vyberte zo zoznamu: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VLOOKUP(H14,kombinace_6!$DN$7:$DO$24,2,0)</f>
        <v>#N/A</v>
      </c>
      <c r="AB29" s="626">
        <f>IF(kombinace_6!FC2=TRUE,AB4,IF(H12='závěsy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rámčekov celkom</v>
      </c>
      <c r="C30" s="608"/>
      <c r="D30" s="608"/>
      <c r="E30" s="608"/>
      <c r="F30" s="608"/>
      <c r="G30" s="608"/>
      <c r="H30" s="608"/>
      <c r="I30" s="608"/>
      <c r="J30" s="608"/>
      <c r="K30" s="571"/>
      <c r="L30" s="621">
        <f>IF(OR((AI30&gt;AI43),(AR14&gt;AJ43)),"",((((AT11+AT13+AT15+AT17+AT33+AQ35+AT37)*AT43)*(1-(Zakaznik!K21/100)))*AW24))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Šírka</v>
      </c>
      <c r="AG30" s="625"/>
      <c r="AH30" s="625"/>
      <c r="AI30" s="618"/>
      <c r="AJ30" s="618"/>
      <c r="AK30" s="618"/>
      <c r="AL30" s="9"/>
      <c r="AM30" s="9"/>
      <c r="AN30" s="9"/>
      <c r="AO30" s="9"/>
      <c r="AP30" s="9"/>
      <c r="AQ30" s="9"/>
      <c r="AR30" s="9"/>
      <c r="AS30" s="9"/>
      <c r="AT30" s="146"/>
      <c r="AU30" s="138" t="e">
        <f>HLOOKUP("_Úzký_dolny_K12",kombinace_6!CV2:CW19,3,FALSE)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Súhrn</v>
      </c>
      <c r="AP31" s="674"/>
      <c r="AQ31" s="674"/>
      <c r="AR31" s="674"/>
      <c r="AS31" s="9"/>
      <c r="AT31" s="146"/>
      <c r="AU31" s="138" t="e">
        <f>AD44</f>
        <v>#N/A</v>
      </c>
    </row>
    <row r="32" spans="1:52" ht="17.25" customHeight="1">
      <c r="A32" s="61"/>
      <c r="B32" s="635" t="str">
        <f>'Translate&amp;Prices&amp;Logo'!$B$171</f>
        <v>Uvedené ceny sú bez DPH a nezahrňujú cenu požadovaného kovania!</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Rámy bez skla sa dodávajú v demontovanom stave.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IF(kombinace_6!V1=2,((AR14/1000)*(AI30/1000))*'Translate&amp;Prices&amp;Logo'!C94,0)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A35" s="112"/>
      <c r="B35" s="112"/>
      <c r="O35" s="140"/>
      <c r="P35" s="140"/>
      <c r="Q35" s="149"/>
      <c r="AD35" s="112"/>
      <c r="AE35" s="112"/>
      <c r="AK35" s="148"/>
      <c r="AL35" s="148"/>
      <c r="AM35" s="148"/>
      <c r="AN35" s="148"/>
      <c r="AP35" s="146"/>
      <c r="AQ35" s="146">
        <f>IF(kombinace_6!$V$1=3,IFERROR(((VLOOKUP(H24,'Translate&amp;Prices&amp;Logo'!B91:C93,2,0))*(AR14/1000)),0),0)</f>
        <v>0</v>
      </c>
      <c r="AR35" s="138"/>
      <c r="AS35" s="278" t="s">
        <v>3535</v>
      </c>
      <c r="AT35" s="279"/>
      <c r="AU35" s="279"/>
      <c r="AV35" s="255"/>
    </row>
    <row r="36" spans="1:58" s="157" customFormat="1" ht="18.600000000000001" hidden="1" customHeight="1">
      <c r="A36" s="149"/>
      <c r="B36" s="157" t="str" cm="1">
        <f t="array" ref="B36:B96">IF(kombinace_6!FC2=TRUE,_profily_síťka,IF(kombinace_6!H1=TRUE,_kombinovane_profily,_vše_profily))</f>
        <v>BRW (elox.) - maximálna odporúčaná odporúčaná dĺžka profilu 2500 mm</v>
      </c>
      <c r="L36" s="157" t="str">
        <f t="array" ref="L36:M36">IF(kombinace_6!H1=TRUE,'závěsy dle výklopu'!$BQ$2:$BR$2,
IF(H8=kombinace_6!A36,'závěsy dle výklopu'!$BQ$2,IF(H8=kombinace_6!A37,'závěsy dle výklopu'!$BQ$2,IF(H8=kombinace_6!A60,'závěsy dle výklopu'!$BQ$2,IF(H8=kombinace_6!A61,'závěsy dle výklopu'!$BQ$2,IF(H8=kombinace_6!A62,'závěsy dle výklopu'!$BQ$2,IF(H8=kombinace_6!A63,'závěsy dle výklopu'!$BQ$2,'závěsy dle výklopu'!$BQ$2:$BR$2)))))))</f>
        <v>Závesy</v>
      </c>
      <c r="M36" s="157" t="str">
        <v>Výklopy</v>
      </c>
      <c r="P36" s="157" t="str" cm="1">
        <f t="array" ref="P36:P38">IF(H13=kombinace_6!BQ11,kombinace_6!$DN$2,kombinace_6!$DN$2:$DN$4)</f>
        <v>Naložený</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55"/>
      <c r="AX36" s="255"/>
      <c r="AY36" s="255"/>
    </row>
    <row r="37" spans="1:58" s="157" customFormat="1" ht="15" hidden="1" customHeight="1">
      <c r="A37" s="140"/>
      <c r="B37" s="157" t="str">
        <v>BRW biela matt RAL 9003 - maximálna odporúčaná dĺžka profilu 2500 mm</v>
      </c>
      <c r="P37" s="157" t="e">
        <v>#N/A</v>
      </c>
      <c r="T37" s="157">
        <f ca="1"/>
        <v>0</v>
      </c>
      <c r="W37" s="157" t="str" cm="1">
        <f t="array" ref="W37:W38">IF(Hlavní!$V$39=3,"",'Translate&amp;Prices&amp;Logo'!B556:B557)</f>
        <v>Áno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biela lesk RAL 9003 - maximálna odporúčaná dĺžka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Nie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brúsené - maximálna odporúčaná dĺžka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čierna matt - maximálna odporúčaná dĺžka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čierna brúsená - maximálna odporúčaná dĺžka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svetlá nerez (INOX ACIER gratta)- maximálna odporúčaná dĺžka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maximálna odporúčaná dĺžka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maximálna odporúčaná dĺžka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maximálna odporúčaná dĺžka profilu 2500 mm</v>
      </c>
      <c r="M45" s="157" t="s">
        <v>2500</v>
      </c>
      <c r="N45" s="157" t="s">
        <v>1039</v>
      </c>
      <c r="AS45" s="133"/>
      <c r="AW45" s="255"/>
      <c r="AX45" s="255"/>
      <c r="AY45" s="255"/>
    </row>
    <row r="46" spans="1:58" s="157" customFormat="1" ht="14.85" hidden="1" customHeight="1">
      <c r="A46" s="140"/>
      <c r="B46" s="157" t="str">
        <v>BRW hnědá - maximálna odporúčaná dĺžka profilu 2500 mm</v>
      </c>
      <c r="M46" s="157" t="s">
        <v>4323</v>
      </c>
    </row>
    <row r="47" spans="1:58" s="157" customFormat="1" ht="14.85" hidden="1" customHeight="1">
      <c r="A47" s="140"/>
      <c r="B47" s="157" t="str">
        <v>BRW tmavá nerez brúsená (INOX LIJA) - maximálna odporúčaná dĺžka profilu 2500 mm</v>
      </c>
      <c r="M47" s="157" t="s">
        <v>4324</v>
      </c>
      <c r="T47" s="157" t="str">
        <f>CONCATENATE(H13,"_",VLOOKUP(kombinace_6!H1,kombinace_6!$J$14:$K$15,2,0))</f>
        <v>_2</v>
      </c>
      <c r="AD47" s="157" t="s">
        <v>4322</v>
      </c>
      <c r="AI47" s="112"/>
      <c r="AJ47" s="277"/>
      <c r="AN47" s="670"/>
      <c r="AO47" s="670"/>
      <c r="AP47" s="670"/>
      <c r="AQ47" s="670"/>
    </row>
    <row r="48" spans="1:58" s="157" customFormat="1" ht="14.85" hidden="1" customHeight="1">
      <c r="A48" s="140"/>
      <c r="B48" s="157" t="str">
        <v>BRW kašmír - maximálna odporúčaná dĺžka profilu 2500 mm</v>
      </c>
      <c r="T48" s="157" t="e">
        <f>VLOOKUP(AD42,kombinace_6!ER1:ES120,2,0)</f>
        <v>#N/A</v>
      </c>
      <c r="AS48"/>
      <c r="AT48"/>
    </row>
    <row r="49" spans="1:46" s="157" customFormat="1" ht="14.85" hidden="1" customHeight="1">
      <c r="A49" s="140"/>
      <c r="B49" s="157" t="str">
        <v>BRW zlatá - maximálna odporúčaná dĺžka profilu 2500 mm</v>
      </c>
      <c r="AS49"/>
      <c r="AT49"/>
    </row>
    <row r="50" spans="1:46" s="157" customFormat="1" ht="14.85" hidden="1" customHeight="1">
      <c r="A50" s="140"/>
      <c r="B50" s="157" t="str">
        <v>BRW zlatá brúsená - maximálna odporúčaná dĺžka profilu 2500 mm</v>
      </c>
      <c r="AS50"/>
      <c r="AT50"/>
    </row>
    <row r="51" spans="1:46" s="157" customFormat="1" ht="14.85" hidden="1" customHeight="1">
      <c r="A51" s="140"/>
      <c r="B51" s="157" t="str">
        <v>Corleone (elox.) - maximálna odporúčaná dĺžka profilu 1500 mm</v>
      </c>
      <c r="AS51"/>
      <c r="AT51"/>
    </row>
    <row r="52" spans="1:46" s="157" customFormat="1" ht="14.85" hidden="1" customHeight="1">
      <c r="A52" s="140"/>
      <c r="B52" s="157" t="str">
        <v>Corleone čierne mat - maximálna odporúčaná dĺžka profilu 1500 mm</v>
      </c>
      <c r="AS52"/>
      <c r="AT52"/>
    </row>
    <row r="53" spans="1:46" s="157" customFormat="1" ht="14.85" hidden="1" customHeight="1">
      <c r="A53" s="140"/>
      <c r="B53" s="157" t="str">
        <v>ASTI čierna mat - maximálna odporúčaná dĺžka profilu 2150</v>
      </c>
      <c r="AS53"/>
      <c r="AT53"/>
    </row>
    <row r="54" spans="1:46" s="157" customFormat="1" ht="14.85" hidden="1" customHeight="1">
      <c r="A54" s="140"/>
      <c r="B54" s="157" t="str">
        <v>ASTI antracit RAL 7021 mat - maximálna odporúčaná dĺžka profilu 2500 mm</v>
      </c>
      <c r="K54" s="157" t="str">
        <f t="array" ref="K54:K58">IF(OR($H$15=kombinace_6!AB40,$H$15=kombinace_6!AB7,$H$15=kombinace_6!AB15,$H$15=kombinace_6!AB20,$H$15=kombinace_6!AB21,$H$15=kombinace_6!AB22),'Translate&amp;Prices&amp;Logo'!$B$229:$B$231,IF($H$15=kombinace_6!AB41,'Translate&amp;Prices&amp;Logo'!$B$229:$B$231,'Translate&amp;Prices&amp;Logo'!$B$233:$B$237))</f>
        <v>Úzky ALU rámček</v>
      </c>
      <c r="T54" s="157" t="str">
        <f t="array" ref="T54:T56">kombinace_6!$EN$3:$EN$5</f>
        <v>Bez úprav</v>
      </c>
      <c r="U54" s="157">
        <v>1</v>
      </c>
      <c r="X54" s="157" t="str">
        <f t="array" ref="X54:X56">kombinace_6!$X$3:$X$5</f>
        <v>transparentné</v>
      </c>
      <c r="AD54" s="157" t="e">
        <f t="array" aca="1" ref="AD54:AD96" ca="1">IF(kombinace_6!FC2=FALSE,
INDIRECT(kombinace_6!S1),
IF(kombinace_6!FC2=TRUE,INDIRECT(VLOOKUP(Ram_6!H8,'závěsy dle výklopu'!A81:B90,2,0)),0))</f>
        <v>#N/A</v>
      </c>
      <c r="AS54"/>
      <c r="AT54"/>
    </row>
    <row r="55" spans="1:46" s="157" customFormat="1" ht="14.85" hidden="1" customHeight="1">
      <c r="A55" s="140"/>
      <c r="B55" s="157" t="str">
        <v>Imola (elox.) - maximálna odporúčaná dĺžka profilu 2500 mm</v>
      </c>
      <c r="K55" s="157" t="str">
        <v>Široký ALU rámček</v>
      </c>
      <c r="T55" s="157" t="str">
        <v>Kalené (termín dodania 4 týždne)</v>
      </c>
      <c r="U55" s="157">
        <v>2</v>
      </c>
      <c r="X55" s="157" t="str">
        <v>biela</v>
      </c>
      <c r="AD55" s="157" t="e">
        <f ca="1"/>
        <v>#N/A</v>
      </c>
      <c r="AS55"/>
      <c r="AT55"/>
    </row>
    <row r="56" spans="1:46" s="157" customFormat="1" ht="14.85" hidden="1" customHeight="1">
      <c r="A56" s="140"/>
      <c r="B56" s="157" t="str">
        <v>Imola čierna mat - maximálna odporúčaná dĺžka profilu 2500 mm</v>
      </c>
      <c r="K56" s="157" t="str">
        <v>MDF hrúbky 16 mm</v>
      </c>
      <c r="T56" s="157" t="str">
        <v>Folie</v>
      </c>
      <c r="U56" s="157">
        <v>3</v>
      </c>
      <c r="X56" s="157" t="str">
        <v>čierna</v>
      </c>
      <c r="AD56" s="157" t="e">
        <f ca="1"/>
        <v>#N/A</v>
      </c>
    </row>
    <row r="57" spans="1:46" s="157" customFormat="1" ht="14.85" hidden="1" customHeight="1">
      <c r="A57" s="140"/>
      <c r="B57" s="157" t="str">
        <v>Imola biela matt RAL 9003 - maximálna odporúčaná dĺžka profilu 2500 mm</v>
      </c>
      <c r="K57" s="157" t="str">
        <v>MDF hrúbky 18 mm</v>
      </c>
      <c r="AD57" s="157" t="e">
        <f ca="1"/>
        <v>#N/A</v>
      </c>
    </row>
    <row r="58" spans="1:46" s="157" customFormat="1" ht="14.85" hidden="1" customHeight="1">
      <c r="A58" s="140"/>
      <c r="B58" s="157" t="str">
        <v>Imola zlatá - maximálna odporúčaná dĺžka profilu 2150 mm</v>
      </c>
      <c r="K58" s="157" t="str">
        <v>DTDL hrúbky 18 mm</v>
      </c>
      <c r="AD58" s="157" t="e">
        <f ca="1"/>
        <v>#N/A</v>
      </c>
    </row>
    <row r="59" spans="1:46" s="157" customFormat="1" ht="14.85" hidden="1" customHeight="1">
      <c r="A59" s="140"/>
      <c r="B59" s="157" t="str">
        <v>Modena (elox.) - maximálna odporúčaná dĺžka profilu 2500 mm</v>
      </c>
      <c r="T59" s="157">
        <f>IFERROR(VLOOKUP($H$21,$T$54:$U$56,2,0),0)</f>
        <v>0</v>
      </c>
      <c r="AD59" s="157" t="e">
        <f ca="1"/>
        <v>#N/A</v>
      </c>
    </row>
    <row r="60" spans="1:46" s="157" customFormat="1" ht="14.85" hidden="1" customHeight="1">
      <c r="A60" s="140"/>
      <c r="B60" s="157" t="str">
        <v>Modena čierna matt - maximálna odporúčaná dĺžka profilu 2500 mm</v>
      </c>
      <c r="K60" s="157" t="b">
        <f>K56=K61</f>
        <v>0</v>
      </c>
      <c r="AD60" s="157" t="e">
        <f ca="1"/>
        <v>#N/A</v>
      </c>
    </row>
    <row r="61" spans="1:46" s="157" customFormat="1" ht="14.85" hidden="1" customHeight="1">
      <c r="A61" s="140"/>
      <c r="B61" s="157" t="str">
        <v>Modena čierna brúsená - maximálna odporúčaná dĺžka profilu 2500 mm</v>
      </c>
      <c r="H61" s="157" t="str">
        <f>'Translate&amp;Prices&amp;Logo'!$B$186</f>
        <v>Spodné dvierko</v>
      </c>
      <c r="K61" s="157" t="str">
        <f>'Translate&amp;Prices&amp;Logo'!$B$231</f>
        <v>2 Kusy (obe strany)</v>
      </c>
      <c r="AD61" s="157" t="e">
        <f ca="1"/>
        <v>#N/A</v>
      </c>
    </row>
    <row r="62" spans="1:46" s="157" customFormat="1" ht="14.85" hidden="1" customHeight="1">
      <c r="A62" s="140"/>
      <c r="B62" s="157" t="str">
        <v>Modena tmavá nerez brúsená LIJA - maximálna odporúčaná dĺžka profilu 2500 mm</v>
      </c>
      <c r="AD62" s="157" t="e">
        <f ca="1"/>
        <v>#N/A</v>
      </c>
    </row>
    <row r="63" spans="1:46" s="157" customFormat="1" ht="14.85" hidden="1" customHeight="1">
      <c r="A63" s="140"/>
      <c r="B63" s="157" t="str">
        <v>Modena hnědá - maximálna odporúčaná dĺžka profilu 2500 mm</v>
      </c>
      <c r="AD63" s="157" t="e">
        <f ca="1"/>
        <v>#N/A</v>
      </c>
    </row>
    <row r="64" spans="1:46" s="157" customFormat="1" ht="14.85" hidden="1" customHeight="1">
      <c r="A64" s="140"/>
      <c r="B64" s="157" t="str">
        <v>Pisa (elox.) - maximálna odporúčaná dĺžka profilu 2500 mm</v>
      </c>
      <c r="AD64" s="157" t="e">
        <f ca="1"/>
        <v>#N/A</v>
      </c>
    </row>
    <row r="65" spans="1:30" s="157" customFormat="1" ht="14.85" hidden="1" customHeight="1">
      <c r="A65" s="140"/>
      <c r="B65" s="157" t="str">
        <v>Pisa biela mat RAL 9003 - maximálna odporúčaná dĺžka profilu 2500 mm</v>
      </c>
      <c r="H65" s="33" t="str">
        <f>'rozpad závěsů bez prázdn. řádků'!$K$1</f>
        <v>krížová skrutka</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výklopu'!$BQ$2,$J$65:$J$71,'Translate&amp;Prices&amp;Logo'!$B$185:$B$186)))</f>
        <v>Horné dvierko</v>
      </c>
      <c r="AD65" s="157" t="e">
        <f ca="1"/>
        <v>#N/A</v>
      </c>
    </row>
    <row r="66" spans="1:30" s="157" customFormat="1" ht="14.85" hidden="1" customHeight="1">
      <c r="A66" s="140"/>
      <c r="B66" s="157" t="str">
        <v>Pisa biela lesk RAL 9003 - maximálna odporúčaná dĺžka profilu 2500 mm</v>
      </c>
      <c r="H66" s="33" t="str">
        <f>'rozpad závěsů bez prázdn. řádků'!$M$1</f>
        <v>na vrut (s excentrom)</v>
      </c>
      <c r="I66" s="159">
        <v>8</v>
      </c>
      <c r="J66" s="32" t="e">
        <f>VLOOKUP($H$15,'rozpad závěsů bez prázdn. řádků'!$G$2:$X$66,I66,0)</f>
        <v>#N/A</v>
      </c>
      <c r="O66" s="157" t="str">
        <v>Spodné dvierko</v>
      </c>
      <c r="AD66" s="157" t="e">
        <f ca="1"/>
        <v>#N/A</v>
      </c>
    </row>
    <row r="67" spans="1:30" s="157" customFormat="1" ht="14.85" hidden="1" customHeight="1">
      <c r="A67" s="140"/>
      <c r="B67" s="157" t="str">
        <v>Pisa čierna matt - maximálna odporúčaná dĺžka profilu 2500 mm</v>
      </c>
      <c r="H67" s="33" t="str">
        <f>'rozpad závěsů bez prázdn. řádků'!$O$1</f>
        <v>euroskrut</v>
      </c>
      <c r="I67" s="159">
        <v>10</v>
      </c>
      <c r="J67" s="32" t="e">
        <f>VLOOKUP($H$15,'rozpad závěsů bez prázdn. řádků'!$G$2:$X$66,I67,0)</f>
        <v>#N/A</v>
      </c>
      <c r="AD67" s="157" t="e">
        <f ca="1"/>
        <v>#N/A</v>
      </c>
    </row>
    <row r="68" spans="1:30" s="157" customFormat="1" ht="14.85" hidden="1" customHeight="1">
      <c r="A68" s="140"/>
      <c r="B68" s="157" t="str">
        <v>Pisa zlatá - maximálna odporúčaná dĺžka profilu 2150 mm</v>
      </c>
      <c r="H68" s="33" t="str">
        <f>'rozpad závěsů bez prázdn. řádků'!$Q$1</f>
        <v>křížová expando</v>
      </c>
      <c r="I68" s="159">
        <v>12</v>
      </c>
      <c r="J68" s="32" t="e">
        <f>VLOOKUP($H$15,'rozpad závěsů bez prázdn. řádků'!$G$2:$X$66,I68,0)</f>
        <v>#N/A</v>
      </c>
      <c r="AD68" s="157" t="e">
        <f ca="1"/>
        <v>#N/A</v>
      </c>
    </row>
    <row r="69" spans="1:30" s="157" customFormat="1" ht="14.85" hidden="1" customHeight="1">
      <c r="A69" s="140"/>
      <c r="B69" s="157" t="str">
        <v>Rocca (elox.) - maximálna odporúčaná dĺžka profilu 2150 mm</v>
      </c>
      <c r="H69" s="33" t="str">
        <f>'rozpad závěsů bez prázdn. řádků'!$S$1</f>
        <v>priama Skrut</v>
      </c>
      <c r="I69" s="159">
        <v>14</v>
      </c>
      <c r="J69" s="32" t="e">
        <f>VLOOKUP($H$15,'rozpad závěsů bez prázdn. řádků'!$G$2:$X$66,I69,0)</f>
        <v>#N/A</v>
      </c>
      <c r="AD69" s="157" t="e">
        <f ca="1"/>
        <v>#N/A</v>
      </c>
    </row>
    <row r="70" spans="1:30" s="157" customFormat="1" ht="14.85" hidden="1" customHeight="1">
      <c r="A70" s="140"/>
      <c r="B70" s="157" t="str">
        <v>Rocca čierna mat - maximálna odporúčaná dĺžka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čierna matt - maximálna odporúčaná dĺžka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maximálna odporúčaná dĺžka profilu 2500 mm</v>
      </c>
      <c r="AD72" s="157" t="e">
        <f ca="1"/>
        <v>#N/A</v>
      </c>
    </row>
    <row r="73" spans="1:30" s="157" customFormat="1" ht="14.85" hidden="1" customHeight="1">
      <c r="A73" s="140"/>
      <c r="B73" s="157" t="str">
        <v>Verona brúsená - maximálna odporúčaná dĺžka profilu 2500 mm</v>
      </c>
      <c r="AD73" s="157" t="e">
        <f ca="1"/>
        <v>#N/A</v>
      </c>
    </row>
    <row r="74" spans="1:30" s="157" customFormat="1" ht="14.85" hidden="1" customHeight="1">
      <c r="A74" s="140"/>
      <c r="B74" s="157" t="str">
        <v>Verona čierna mat - maximálna odporúčaná dĺžka profilu 2500 mm</v>
      </c>
      <c r="AD74" s="157" t="e">
        <f ca="1"/>
        <v>#N/A</v>
      </c>
    </row>
    <row r="75" spans="1:30" s="157" customFormat="1" ht="14.85" hidden="1" customHeight="1">
      <c r="A75" s="140"/>
      <c r="B75" s="157" t="str">
        <v>Verona čierna lesk - maximálna odporúčaná dĺžka profilu 2500 mm</v>
      </c>
      <c r="AD75" s="157" t="e">
        <f ca="1"/>
        <v>#N/A</v>
      </c>
    </row>
    <row r="76" spans="1:30" s="157" customFormat="1" ht="14.85" hidden="1" customHeight="1">
      <c r="A76" s="140"/>
      <c r="B76" s="157" t="str">
        <v>Verona hnědá - maximálna odporúčaná dĺžka profilu 2500 mm</v>
      </c>
      <c r="AD76" s="157" t="e">
        <f ca="1"/>
        <v>#N/A</v>
      </c>
    </row>
    <row r="77" spans="1:30" s="157" customFormat="1" ht="14.85" hidden="1" customHeight="1">
      <c r="A77" s="140"/>
      <c r="B77" s="157" t="str">
        <v>Verona champagne - maximálna odporúčaná dĺžka profilu 2500 mm</v>
      </c>
      <c r="AD77" s="157" t="e">
        <f ca="1"/>
        <v>#N/A</v>
      </c>
    </row>
    <row r="78" spans="1:30" s="157" customFormat="1" ht="14.85" hidden="1" customHeight="1">
      <c r="A78" s="140"/>
      <c r="B78" s="157" t="str">
        <v>Verona nerez brúsená - maximálna odporúčaná dĺžka profilu 2500 mm</v>
      </c>
      <c r="AD78" s="157" t="e">
        <f ca="1"/>
        <v>#N/A</v>
      </c>
    </row>
    <row r="79" spans="1:30" s="157" customFormat="1" ht="14.85" hidden="1" customHeight="1">
      <c r="A79" s="140"/>
      <c r="B79" s="157" t="str">
        <v>Verona svetlá nerez brúsená Acier - maximálna odporúčaná dĺžka profilu 2500 mm</v>
      </c>
      <c r="AD79" s="157" t="e">
        <f ca="1"/>
        <v>#N/A</v>
      </c>
    </row>
    <row r="80" spans="1:30" s="157" customFormat="1" ht="14.85" hidden="1" customHeight="1">
      <c r="A80" s="140"/>
      <c r="B80" s="157" t="str">
        <v>Verona Ivory mat - maximálna odporúčaná dĺžka profilu 2150 mm</v>
      </c>
      <c r="AD80" s="157" t="e">
        <f ca="1"/>
        <v>#N/A</v>
      </c>
    </row>
    <row r="81" spans="1:38" s="157" customFormat="1" ht="14.85" hidden="1" customHeight="1">
      <c r="A81" s="140"/>
      <c r="B81" s="157" t="str">
        <v>Verona kašmír - maximálna odporúčaná dĺžka profilu 2150 mm</v>
      </c>
      <c r="AD81" s="157" t="e">
        <f ca="1"/>
        <v>#N/A</v>
      </c>
    </row>
    <row r="82" spans="1:38" s="157" customFormat="1" ht="14.85" hidden="1" customHeight="1">
      <c r="A82" s="140"/>
      <c r="B82" s="157" t="str">
        <v>Verona zlatá - maximálna odporúčaná dĺžka profilu 2150 mm</v>
      </c>
      <c r="P82" s="157" t="str" cm="1">
        <f t="array" ref="P82:P85">IF(OR(H8=kombinace_6!F18,H8=kombinace_6!F19,H8=kombinace_6!A60,H8=kombinace_6!A61,H8=kombinace_6!A62,H8=kombinace_6!A63),_2_strany,IF(H15=kombinace_6!AB8,_ramena_HL,_4_strany))</f>
        <v>Navrchu</v>
      </c>
      <c r="AD82" s="157" t="e">
        <f ca="1"/>
        <v>#N/A</v>
      </c>
    </row>
    <row r="83" spans="1:38" ht="14.85" hidden="1" customHeight="1">
      <c r="B83" s="138" t="str">
        <v>Verona zlatá brúsená - maximálna odporúčaná dĺžka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maximálna odporúčaná dĺžka profilu 2500 mm</v>
      </c>
      <c r="C84" s="140"/>
      <c r="D84" s="140"/>
      <c r="E84" s="140"/>
      <c r="F84" s="140"/>
      <c r="G84" s="140"/>
      <c r="H84" s="140"/>
      <c r="I84" s="140"/>
      <c r="J84" s="140"/>
      <c r="K84" s="140"/>
      <c r="L84" s="140"/>
      <c r="M84" s="140"/>
      <c r="N84" s="140"/>
      <c r="O84" s="138"/>
      <c r="P84" s="140" t="str">
        <v>Vpravo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čierne mat - maximálna odporúčaná dĺžka profilu 2500 mm</v>
      </c>
      <c r="C85" s="140"/>
      <c r="D85" s="140"/>
      <c r="E85" s="140"/>
      <c r="F85" s="140"/>
      <c r="G85" s="140"/>
      <c r="H85" s="140"/>
      <c r="I85" s="140"/>
      <c r="J85" s="140"/>
      <c r="K85" s="140"/>
      <c r="L85" s="140"/>
      <c r="M85" s="140"/>
      <c r="N85" s="140"/>
      <c r="O85" s="140"/>
      <c r="P85" s="140" t="str">
        <v>Vľavo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maximálna odporúčaná dĺžka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biela matt RAL 9003 - maximálna odporúčaná dĺžka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biela lesk RAL 9003 - maximálna odporúčaná dĺžka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maximálna odporúčaná dĺžka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brúsená - maximálna odporúčaná dĺžka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(Vľavo a vpravo) + Varna elox (Hore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čierna (Vľavo a vpravo) + Varna čierna (Hore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čierna mat - maximálna odporúčaná dĺžka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maximálna odporúčaná dĺžka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čierna mat - maximálna odporúčaná dĺžka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maximálna odporúčaná dĺžka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wURXWwvXvPiZ/KNqPXS4j9Qv62F6Cveb0dp/RrLXt98J5oxdtel60Km9/1Pi32ZK9yDMlzlMwl1TP+gn0kiSYA==" saltValue="5mqhDEkAclMCrQK8z6VTig=="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24" priority="24" operator="equal">
      <formula>$A$2</formula>
    </cfRule>
  </conditionalFormatting>
  <conditionalFormatting sqref="B16:I16">
    <cfRule type="expression" dxfId="223" priority="45">
      <formula>$AU$19=0</formula>
    </cfRule>
  </conditionalFormatting>
  <conditionalFormatting sqref="B9:Q9">
    <cfRule type="expression" dxfId="222" priority="30">
      <formula>$B$9=0</formula>
    </cfRule>
  </conditionalFormatting>
  <conditionalFormatting sqref="B11:Q11">
    <cfRule type="expression" dxfId="221" priority="44">
      <formula>$AU$10=0</formula>
    </cfRule>
  </conditionalFormatting>
  <conditionalFormatting sqref="B14:Q14">
    <cfRule type="expression" dxfId="220" priority="29">
      <formula>$B$14=0</formula>
    </cfRule>
  </conditionalFormatting>
  <conditionalFormatting sqref="B17:Q17">
    <cfRule type="expression" dxfId="219" priority="28">
      <formula>$B$17=0</formula>
    </cfRule>
  </conditionalFormatting>
  <conditionalFormatting sqref="B18:Q18">
    <cfRule type="expression" dxfId="218" priority="14" stopIfTrue="1">
      <formula>$B$18=0</formula>
    </cfRule>
    <cfRule type="expression" dxfId="217" priority="17">
      <formula>$F$16=$H$61</formula>
    </cfRule>
  </conditionalFormatting>
  <conditionalFormatting sqref="B19:Q19">
    <cfRule type="expression" dxfId="216" priority="27">
      <formula>$B$19=0</formula>
    </cfRule>
  </conditionalFormatting>
  <conditionalFormatting sqref="B20:Q20">
    <cfRule type="expression" dxfId="215" priority="25">
      <formula>$B$20=0</formula>
    </cfRule>
    <cfRule type="expression" dxfId="214" priority="26">
      <formula>$B$19=0</formula>
    </cfRule>
  </conditionalFormatting>
  <conditionalFormatting sqref="B21:Q21">
    <cfRule type="expression" dxfId="213" priority="6">
      <formula>$B$21=" "</formula>
    </cfRule>
  </conditionalFormatting>
  <conditionalFormatting sqref="B24:Q24">
    <cfRule type="expression" dxfId="212" priority="19" stopIfTrue="1">
      <formula>$T$59&lt;3</formula>
    </cfRule>
  </conditionalFormatting>
  <conditionalFormatting sqref="H23">
    <cfRule type="expression" dxfId="211" priority="31">
      <formula>$H$25&gt;0</formula>
    </cfRule>
  </conditionalFormatting>
  <conditionalFormatting sqref="H10:L11">
    <cfRule type="expression" dxfId="210" priority="23">
      <formula>$AU$10=2</formula>
    </cfRule>
  </conditionalFormatting>
  <conditionalFormatting sqref="H10:Q10">
    <cfRule type="expression" dxfId="209" priority="22">
      <formula>$AU$10=0</formula>
    </cfRule>
  </conditionalFormatting>
  <conditionalFormatting sqref="H22:Q22 B22:G23">
    <cfRule type="expression" dxfId="208" priority="20">
      <formula>$AS$33=1</formula>
    </cfRule>
  </conditionalFormatting>
  <conditionalFormatting sqref="J16:M16">
    <cfRule type="expression" dxfId="207" priority="16" stopIfTrue="1">
      <formula>$K$60=TRUE</formula>
    </cfRule>
  </conditionalFormatting>
  <conditionalFormatting sqref="J16:N16">
    <cfRule type="expression" dxfId="206" priority="18" stopIfTrue="1">
      <formula>$AV$19=0</formula>
    </cfRule>
  </conditionalFormatting>
  <conditionalFormatting sqref="M10:Q11">
    <cfRule type="expression" dxfId="205" priority="21">
      <formula>$AU$10=1</formula>
    </cfRule>
  </conditionalFormatting>
  <conditionalFormatting sqref="N16:Q16">
    <cfRule type="expression" dxfId="204" priority="15" stopIfTrue="1">
      <formula>$K$60=TRUE</formula>
    </cfRule>
  </conditionalFormatting>
  <conditionalFormatting sqref="P29:Q29">
    <cfRule type="expression" dxfId="203" priority="1">
      <formula>$U$41=2</formula>
    </cfRule>
  </conditionalFormatting>
  <conditionalFormatting sqref="AA9:AA10 AA24:AA25">
    <cfRule type="expression" dxfId="202" priority="10" stopIfTrue="1">
      <formula>$AU$17=1</formula>
    </cfRule>
  </conditionalFormatting>
  <conditionalFormatting sqref="AA16:AA17">
    <cfRule type="expression" dxfId="201" priority="5" stopIfTrue="1">
      <formula>$AU$24="1_3"</formula>
    </cfRule>
  </conditionalFormatting>
  <conditionalFormatting sqref="AB6 AA6:AA7 AA27 AA28:AB28">
    <cfRule type="expression" dxfId="200" priority="4" stopIfTrue="1">
      <formula>$AV$17=1</formula>
    </cfRule>
  </conditionalFormatting>
  <conditionalFormatting sqref="AB29:AO29">
    <cfRule type="cellIs" dxfId="199" priority="2" operator="equal">
      <formula>0</formula>
    </cfRule>
  </conditionalFormatting>
  <conditionalFormatting sqref="AC6:AD6 AM6:AN6">
    <cfRule type="expression" dxfId="198" priority="12" stopIfTrue="1">
      <formula>$AU$17=3</formula>
    </cfRule>
  </conditionalFormatting>
  <conditionalFormatting sqref="AC25:AD25 AJ26:AJ27">
    <cfRule type="expression" dxfId="197" priority="39">
      <formula>$AU$25=4</formula>
    </cfRule>
  </conditionalFormatting>
  <conditionalFormatting sqref="AC28:AD28 AM28:AN28">
    <cfRule type="expression" dxfId="196" priority="11" stopIfTrue="1">
      <formula>$AU$17=4</formula>
    </cfRule>
  </conditionalFormatting>
  <conditionalFormatting sqref="AC8:AG8">
    <cfRule type="expression" dxfId="195" priority="43">
      <formula>$AU$25=3</formula>
    </cfRule>
  </conditionalFormatting>
  <conditionalFormatting sqref="AC24:AG24">
    <cfRule type="expression" dxfId="194" priority="40">
      <formula>$AU$25=4</formula>
    </cfRule>
  </conditionalFormatting>
  <conditionalFormatting sqref="AD10:AD12 AB19:AC19">
    <cfRule type="expression" dxfId="193" priority="33">
      <formula>$AU$25=1</formula>
    </cfRule>
  </conditionalFormatting>
  <conditionalFormatting sqref="AD14:AD21">
    <cfRule type="expression" dxfId="192" priority="32">
      <formula>$AU$25=1</formula>
    </cfRule>
  </conditionalFormatting>
  <conditionalFormatting sqref="AE10:AE16">
    <cfRule type="expression" dxfId="191" priority="41">
      <formula>$AU$25=1</formula>
    </cfRule>
  </conditionalFormatting>
  <conditionalFormatting sqref="AF9:AK9">
    <cfRule type="expression" dxfId="190" priority="36">
      <formula>$AU$25=3</formula>
    </cfRule>
  </conditionalFormatting>
  <conditionalFormatting sqref="AF25:AK25">
    <cfRule type="expression" dxfId="189" priority="38">
      <formula>$AU$25=4</formula>
    </cfRule>
  </conditionalFormatting>
  <conditionalFormatting sqref="AG6:AH6">
    <cfRule type="expression" dxfId="188" priority="8" stopIfTrue="1">
      <formula>$AU$24="3_3"</formula>
    </cfRule>
  </conditionalFormatting>
  <conditionalFormatting sqref="AG28:AH28">
    <cfRule type="expression" dxfId="187" priority="7" stopIfTrue="1">
      <formula>$AU$24="4_3"</formula>
    </cfRule>
  </conditionalFormatting>
  <conditionalFormatting sqref="AJ7:AJ8 AC9:AD9">
    <cfRule type="expression" dxfId="186" priority="37">
      <formula>$AU$25=3</formula>
    </cfRule>
  </conditionalFormatting>
  <conditionalFormatting sqref="AL19:AL25">
    <cfRule type="expression" dxfId="185" priority="42">
      <formula>$AU$25=2</formula>
    </cfRule>
  </conditionalFormatting>
  <conditionalFormatting sqref="AM14:AM21">
    <cfRule type="expression" dxfId="184" priority="34">
      <formula>$AU$25=2</formula>
    </cfRule>
  </conditionalFormatting>
  <conditionalFormatting sqref="AN19:AO19 AM23:AM25">
    <cfRule type="expression" dxfId="183" priority="35">
      <formula>$AU$25=2</formula>
    </cfRule>
  </conditionalFormatting>
  <conditionalFormatting sqref="AO6 AP6:AP7 AP27 AO28:AP28">
    <cfRule type="expression" dxfId="182" priority="3" stopIfTrue="1">
      <formula>$AV$17=2</formula>
    </cfRule>
  </conditionalFormatting>
  <conditionalFormatting sqref="AP9:AP10 AP24:AP25">
    <cfRule type="expression" dxfId="181" priority="9" stopIfTrue="1">
      <formula>$AU$17=2</formula>
    </cfRule>
  </conditionalFormatting>
  <conditionalFormatting sqref="AP16:AP17">
    <cfRule type="expression" dxfId="180"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$AD$54:$AD$96</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B36:B96</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R34" sqref="R34:S35"/>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498" t="str">
        <f>'Translate&amp;Prices&amp;Logo'!$B$540</f>
        <v>Úvod</v>
      </c>
      <c r="R2" s="499"/>
      <c r="S2" s="499"/>
      <c r="T2" s="499"/>
    </row>
    <row r="3" spans="1:23">
      <c r="A3" s="39"/>
      <c r="B3" s="39"/>
      <c r="C3" s="39"/>
      <c r="D3" s="39"/>
      <c r="E3" s="39"/>
      <c r="F3" s="39"/>
      <c r="G3" s="39"/>
      <c r="H3" s="39"/>
      <c r="I3" s="39"/>
      <c r="J3" s="39"/>
      <c r="K3" s="39"/>
      <c r="L3" s="39"/>
      <c r="M3" s="39"/>
      <c r="N3" s="39"/>
      <c r="O3" s="39"/>
      <c r="P3" s="15"/>
      <c r="Q3" s="498"/>
      <c r="R3" s="499"/>
      <c r="S3" s="499"/>
      <c r="T3" s="499"/>
    </row>
    <row r="4" spans="1:23">
      <c r="A4" s="38"/>
      <c r="B4" s="38"/>
      <c r="C4" s="38"/>
      <c r="D4" s="38"/>
      <c r="E4" s="38"/>
      <c r="F4" s="38"/>
      <c r="G4" s="38"/>
      <c r="H4" s="38"/>
      <c r="I4" s="38"/>
    </row>
    <row r="5" spans="1:23">
      <c r="A5" s="38"/>
      <c r="B5" s="38"/>
      <c r="C5" s="38"/>
      <c r="D5" s="38"/>
      <c r="E5" s="38"/>
      <c r="F5" s="3" t="str">
        <f>'Translate&amp;Prices&amp;Logo'!$B$302</f>
        <v>Vždy používajte aktuálnu verziu formuláru, ktorý je dostupný na našich stránkach.</v>
      </c>
      <c r="G5" s="38"/>
      <c r="H5" s="38"/>
    </row>
    <row r="6" spans="1:23">
      <c r="I6" s="288"/>
      <c r="J6" s="288"/>
      <c r="K6" s="288"/>
      <c r="L6" s="288"/>
      <c r="M6" s="288"/>
      <c r="N6" s="288"/>
      <c r="O6" s="288"/>
      <c r="P6" s="288"/>
      <c r="Q6" s="288"/>
      <c r="R6" s="288"/>
      <c r="S6" s="288"/>
      <c r="T6" s="288"/>
      <c r="U6" s="288"/>
      <c r="V6" s="288"/>
      <c r="W6" s="288"/>
    </row>
    <row r="7" spans="1:23"/>
    <row r="8" spans="1:23" ht="11.1" customHeight="1"/>
    <row r="9" spans="1:23" ht="11.1" customHeight="1">
      <c r="E9" s="58"/>
    </row>
    <row r="10" spans="1:23" ht="12" customHeight="1">
      <c r="E10" s="58" t="str">
        <f>'Translate&amp;Prices&amp;Logo'!B306</f>
        <v xml:space="preserve">Vyplňte prosím vaše kontaktné údaje a následne kliknite na požadované políčko nižšie. </v>
      </c>
    </row>
    <row r="11" spans="1:23">
      <c r="E11" s="509"/>
      <c r="F11" s="509"/>
      <c r="G11" s="509"/>
      <c r="H11" s="509"/>
      <c r="I11" s="509"/>
      <c r="J11" s="31"/>
      <c r="K11" s="510"/>
      <c r="L11" s="510"/>
      <c r="M11" s="510"/>
      <c r="N11" s="510"/>
      <c r="O11" s="510"/>
      <c r="P11" s="510"/>
    </row>
    <row r="12" spans="1:23"/>
    <row r="13" spans="1:23">
      <c r="E13" s="500" t="str">
        <f>'Translate&amp;Prices&amp;Logo'!$B$249</f>
        <v>Zákazník</v>
      </c>
      <c r="F13" s="500"/>
      <c r="G13" s="500"/>
      <c r="H13" s="500"/>
      <c r="I13" s="500"/>
      <c r="K13" s="511"/>
      <c r="L13" s="511"/>
      <c r="M13" s="511"/>
      <c r="N13" s="511"/>
      <c r="O13" s="511"/>
      <c r="P13" s="511"/>
    </row>
    <row r="14" spans="1:23">
      <c r="K14" s="29"/>
      <c r="L14" s="29"/>
      <c r="M14" s="29"/>
      <c r="N14" s="29"/>
      <c r="O14" s="29"/>
      <c r="P14" s="29"/>
    </row>
    <row r="15" spans="1:23">
      <c r="E15" s="500" t="str">
        <f>'Translate&amp;Prices&amp;Logo'!$B$253</f>
        <v>IČ:</v>
      </c>
      <c r="F15" s="500"/>
      <c r="G15" s="500"/>
      <c r="H15" s="500"/>
      <c r="I15" s="500"/>
      <c r="K15" s="511"/>
      <c r="L15" s="511"/>
      <c r="M15" s="511"/>
      <c r="N15" s="511"/>
      <c r="O15" s="511"/>
      <c r="P15" s="511"/>
    </row>
    <row r="16" spans="1:23">
      <c r="K16" s="29"/>
      <c r="L16" s="29"/>
      <c r="M16" s="29"/>
      <c r="N16" s="29"/>
      <c r="O16" s="29"/>
      <c r="P16" s="29"/>
    </row>
    <row r="17" spans="5:16">
      <c r="E17" s="500" t="str">
        <f>'Translate&amp;Prices&amp;Logo'!$B$250</f>
        <v>Kontaktný tel.</v>
      </c>
      <c r="F17" s="500"/>
      <c r="G17" s="500"/>
      <c r="H17" s="500"/>
      <c r="I17" s="500"/>
      <c r="K17" s="512"/>
      <c r="L17" s="511"/>
      <c r="M17" s="511"/>
      <c r="N17" s="511"/>
      <c r="O17" s="511"/>
      <c r="P17" s="511"/>
    </row>
    <row r="18" spans="5:16">
      <c r="K18" s="29"/>
      <c r="L18" s="29"/>
      <c r="M18" s="29"/>
      <c r="N18" s="29"/>
      <c r="O18" s="29"/>
      <c r="P18" s="29"/>
    </row>
    <row r="19" spans="5:16">
      <c r="E19" s="500" t="str">
        <f>'Translate&amp;Prices&amp;Logo'!$B$251</f>
        <v>Kontaktný e -mail</v>
      </c>
      <c r="F19" s="500"/>
      <c r="G19" s="500"/>
      <c r="H19" s="500"/>
      <c r="I19" s="500"/>
      <c r="K19" s="511"/>
      <c r="L19" s="511"/>
      <c r="M19" s="511"/>
      <c r="N19" s="511"/>
      <c r="O19" s="511"/>
      <c r="P19" s="511"/>
    </row>
    <row r="20" spans="5:16">
      <c r="K20" s="29"/>
      <c r="L20" s="29"/>
      <c r="M20" s="29"/>
      <c r="N20" s="29"/>
      <c r="O20" s="29"/>
      <c r="P20" s="29"/>
    </row>
    <row r="21" spans="5:16">
      <c r="E21" s="500" t="str">
        <f>'Translate&amp;Prices&amp;Logo'!$B$254</f>
        <v>Zľava na rámčeky</v>
      </c>
      <c r="F21" s="500"/>
      <c r="G21" s="500"/>
      <c r="H21" s="500"/>
      <c r="I21" s="500"/>
      <c r="K21" s="514"/>
      <c r="L21" s="514"/>
      <c r="M21" s="514"/>
      <c r="N21" s="514"/>
      <c r="O21" s="514"/>
      <c r="P21" s="334" t="s">
        <v>4084</v>
      </c>
    </row>
    <row r="22" spans="5:16" ht="14.25" customHeight="1">
      <c r="K22" s="289">
        <v>0.2</v>
      </c>
      <c r="L22" s="289"/>
      <c r="M22" s="289"/>
      <c r="N22" s="289"/>
      <c r="O22" s="289"/>
      <c r="P22" s="289"/>
    </row>
    <row r="23" spans="5:16">
      <c r="E23" s="501" t="str">
        <f>IF(Hlavní!V39=3,"Dostawa","")</f>
        <v/>
      </c>
      <c r="F23" s="501"/>
      <c r="G23" s="501"/>
      <c r="H23" s="501"/>
      <c r="I23" s="501"/>
      <c r="K23" s="502"/>
      <c r="L23" s="502"/>
      <c r="M23" s="502"/>
      <c r="N23" s="502"/>
      <c r="O23" s="502"/>
      <c r="P23" s="502"/>
    </row>
    <row r="24" spans="5:16" ht="14.25" customHeight="1">
      <c r="K24" s="49" t="s">
        <v>3575</v>
      </c>
      <c r="L24" s="513" t="s">
        <v>3576</v>
      </c>
      <c r="M24" s="513"/>
      <c r="N24" s="513"/>
      <c r="O24" s="513"/>
      <c r="P24" s="49" t="s">
        <v>3575</v>
      </c>
    </row>
    <row r="25" spans="5:16" ht="14.25" customHeight="1">
      <c r="E25" s="501" t="str">
        <f>IF(Hlavní!V39=3,"Adres","")</f>
        <v/>
      </c>
      <c r="F25" s="501"/>
      <c r="G25" s="501"/>
      <c r="H25" s="501"/>
      <c r="I25" s="501"/>
      <c r="K25" s="503"/>
      <c r="L25" s="503"/>
      <c r="M25" s="503"/>
      <c r="N25" s="503"/>
      <c r="O25" s="503"/>
      <c r="P25" s="503"/>
    </row>
    <row r="26" spans="5:16" ht="14.25" customHeight="1">
      <c r="K26" s="503"/>
      <c r="L26" s="503"/>
      <c r="M26" s="503"/>
      <c r="N26" s="503"/>
      <c r="O26" s="503"/>
      <c r="P26" s="503"/>
    </row>
    <row r="27" spans="5:16" ht="14.25" customHeight="1">
      <c r="K27" s="503"/>
      <c r="L27" s="503"/>
      <c r="M27" s="503"/>
      <c r="N27" s="503"/>
      <c r="O27" s="503"/>
      <c r="P27" s="503"/>
    </row>
    <row r="28" spans="5:16" ht="14.25" customHeight="1"/>
    <row r="29" spans="5:16">
      <c r="E29" s="506"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506"/>
      <c r="G29" s="506"/>
      <c r="H29" s="506"/>
      <c r="I29" s="506"/>
      <c r="J29" s="506"/>
      <c r="K29" s="506"/>
      <c r="L29" s="506"/>
      <c r="M29" s="506"/>
      <c r="N29" s="506"/>
      <c r="O29" s="506"/>
      <c r="P29" s="506"/>
    </row>
    <row r="30" spans="5:16">
      <c r="E30" s="506"/>
      <c r="F30" s="506"/>
      <c r="G30" s="506"/>
      <c r="H30" s="506"/>
      <c r="I30" s="506"/>
      <c r="J30" s="506"/>
      <c r="K30" s="506"/>
      <c r="L30" s="506"/>
      <c r="M30" s="506"/>
      <c r="N30" s="506"/>
      <c r="O30" s="506"/>
      <c r="P30" s="506"/>
    </row>
    <row r="31" spans="5:16">
      <c r="E31" s="506"/>
      <c r="F31" s="506"/>
      <c r="G31" s="506"/>
      <c r="H31" s="506"/>
      <c r="I31" s="506"/>
      <c r="J31" s="506"/>
      <c r="K31" s="506"/>
      <c r="L31" s="506"/>
      <c r="M31" s="506"/>
      <c r="N31" s="506"/>
      <c r="O31" s="506"/>
      <c r="P31" s="506"/>
    </row>
    <row r="32" spans="5:16">
      <c r="E32" s="287"/>
      <c r="F32" s="287"/>
      <c r="G32" s="287"/>
      <c r="H32" s="287"/>
      <c r="I32" s="287"/>
      <c r="J32" s="287"/>
      <c r="K32" s="287"/>
      <c r="L32" s="287"/>
      <c r="M32" s="287"/>
      <c r="N32" s="287"/>
      <c r="O32" s="287"/>
      <c r="P32" s="287"/>
    </row>
    <row r="33" spans="2:24"/>
    <row r="34" spans="2:24">
      <c r="B34" s="498" t="str">
        <f>"&lt;"&amp;" "&amp;'Translate&amp;Prices&amp;Logo'!$B$574</f>
        <v>&lt; Späť</v>
      </c>
      <c r="C34" s="499"/>
      <c r="E34" s="287"/>
      <c r="F34" s="287"/>
      <c r="G34" s="287"/>
      <c r="H34" s="287"/>
      <c r="I34" s="287"/>
      <c r="J34" s="287"/>
      <c r="K34" s="504" t="s">
        <v>3611</v>
      </c>
      <c r="L34" s="505"/>
      <c r="M34" s="287"/>
      <c r="N34" s="287"/>
      <c r="O34" s="287"/>
      <c r="P34" s="287"/>
      <c r="R34" s="507" t="str">
        <f>'Translate&amp;Prices&amp;Logo'!$B$566&amp;" "&amp;"&gt;"</f>
        <v>Ďalšie &gt;</v>
      </c>
      <c r="S34" s="508"/>
      <c r="U34" s="6">
        <f>IF('Translate&amp;Prices&amp;Logo'!D1=3,1,0)</f>
        <v>0</v>
      </c>
      <c r="V34" s="6">
        <f>IF(K23="",0,1)</f>
        <v>0</v>
      </c>
      <c r="W34" s="6">
        <f>IF(AND(U34=1,V34=1),1,0)</f>
        <v>0</v>
      </c>
      <c r="X34" s="6">
        <f>IF(OR(W34=1,W35=1),1,0)</f>
        <v>1</v>
      </c>
    </row>
    <row r="35" spans="2:24">
      <c r="B35" s="498"/>
      <c r="C35" s="499"/>
      <c r="E35" s="287"/>
      <c r="F35" s="287"/>
      <c r="G35" s="287"/>
      <c r="H35" s="287"/>
      <c r="I35" s="287"/>
      <c r="J35" s="287"/>
      <c r="K35" s="504"/>
      <c r="L35" s="505"/>
      <c r="M35" s="287"/>
      <c r="N35" s="287"/>
      <c r="O35" s="287"/>
      <c r="P35" s="287"/>
      <c r="R35" s="507"/>
      <c r="S35" s="508"/>
      <c r="U35" s="6" t="s">
        <v>3552</v>
      </c>
      <c r="V35" s="6"/>
      <c r="W35" s="6">
        <f>IF('Translate&amp;Prices&amp;Logo'!D1&lt;&gt;3,1,0)</f>
        <v>1</v>
      </c>
      <c r="X35" s="6"/>
    </row>
    <row r="36" spans="2:24">
      <c r="U36" s="6"/>
      <c r="V36" s="6"/>
      <c r="W36" s="6"/>
      <c r="X36" s="6"/>
    </row>
    <row r="37" spans="2:24"/>
    <row r="38" spans="2:24"/>
  </sheetData>
  <sheetProtection algorithmName="SHA-512" hashValue="DsLxnvPHAgg4OtJGmzdM2MJTNw5ZYBI+8Q3ZdxV24nhOf++H0gZmsrsO024awlffGE6WBkjZI7pFwt8QpMs+Rg==" saltValue="RWofQ9V7xPZEr3JHCGUmNQ=="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515" priority="1" stopIfTrue="1">
      <formula>K23="Dostawa na adres"</formula>
    </cfRule>
  </conditionalFormatting>
  <conditionalFormatting sqref="K24">
    <cfRule type="expression" dxfId="513" priority="4">
      <formula>$K$23="Dostawa na adres"</formula>
    </cfRule>
  </conditionalFormatting>
  <conditionalFormatting sqref="K34">
    <cfRule type="expression" dxfId="512" priority="16" stopIfTrue="1">
      <formula>K23="Dostawa na adres"</formula>
    </cfRule>
  </conditionalFormatting>
  <conditionalFormatting sqref="K25:P25">
    <cfRule type="expression" dxfId="511" priority="10">
      <formula>K23="Dostawa na adres"</formula>
    </cfRule>
  </conditionalFormatting>
  <conditionalFormatting sqref="K26:P26">
    <cfRule type="expression" dxfId="510" priority="9">
      <formula>K23="Dostawa na adres"</formula>
    </cfRule>
  </conditionalFormatting>
  <conditionalFormatting sqref="K27:P27">
    <cfRule type="expression" dxfId="509" priority="15">
      <formula>K23="Dostawa na adres"</formula>
    </cfRule>
  </conditionalFormatting>
  <conditionalFormatting sqref="L24">
    <cfRule type="expression" dxfId="508" priority="5">
      <formula>$K$23="Dostawa na adres"</formula>
    </cfRule>
  </conditionalFormatting>
  <conditionalFormatting sqref="P24">
    <cfRule type="expression" dxfId="507" priority="6">
      <formula>$K$23="Dostawa na adres"</formula>
    </cfRule>
  </conditionalFormatting>
  <conditionalFormatting sqref="R34:S35">
    <cfRule type="expression" dxfId="506"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'Translate&amp;Prices&amp;Logo'!B553</f>
        <v>Naložený</v>
      </c>
      <c r="DP2" t="str">
        <f>'Translate&amp;Prices&amp;Logo'!$B$551</f>
        <v>Závesy</v>
      </c>
      <c r="DQ2">
        <v>2</v>
      </c>
      <c r="ED2" t="s">
        <v>1649</v>
      </c>
      <c r="EE2" t="s">
        <v>3242</v>
      </c>
      <c r="ER2" t="s">
        <v>2157</v>
      </c>
      <c r="ES2" t="s">
        <v>2162</v>
      </c>
      <c r="EV2">
        <v>2</v>
      </c>
      <c r="EW2" t="s">
        <v>2179</v>
      </c>
      <c r="EY2" s="213" t="str">
        <f>'Translate&amp;Prices&amp;Logo'!B164</f>
        <v>sieťka alu zlatá - rozmer oka 10x6x1 mm</v>
      </c>
      <c r="FA2" s="34" t="str">
        <f>'Translate&amp;Prices&amp;Logo'!B644</f>
        <v>520405 SALICE AIR SOFT niklový závěs s úhlem otevírání 92° sada 2ks</v>
      </c>
      <c r="FC2" t="b">
        <v>0</v>
      </c>
    </row>
    <row r="3" spans="1:159">
      <c r="A3" t="str">
        <f>'Translate&amp;Prices&amp;Logo'!$B$6</f>
        <v>BRW (elox.) - maximálna odporúčaná odporúčaná dĺžka profilu 2500 mm</v>
      </c>
      <c r="B3">
        <v>1</v>
      </c>
      <c r="C3" t="s">
        <v>651</v>
      </c>
      <c r="D3">
        <v>1</v>
      </c>
      <c r="F3" t="s">
        <v>950</v>
      </c>
      <c r="G3" t="s">
        <v>382</v>
      </c>
      <c r="H3" t="s">
        <v>951</v>
      </c>
      <c r="I3">
        <v>1</v>
      </c>
      <c r="J3">
        <v>2</v>
      </c>
      <c r="K3" t="s">
        <v>651</v>
      </c>
      <c r="M3" t="s">
        <v>952</v>
      </c>
      <c r="N3" t="s">
        <v>554</v>
      </c>
      <c r="X3" t="str">
        <f>'Translate&amp;Prices&amp;Logo'!$B$563</f>
        <v>transparentné</v>
      </c>
      <c r="Y3">
        <v>1</v>
      </c>
      <c r="AA3" t="s">
        <v>2083</v>
      </c>
      <c r="AB3" t="s">
        <v>1009</v>
      </c>
      <c r="AF3" t="s">
        <v>105</v>
      </c>
      <c r="AG3" t="s">
        <v>2377</v>
      </c>
      <c r="AY3" t="s">
        <v>984</v>
      </c>
      <c r="BK3" t="s">
        <v>105</v>
      </c>
      <c r="BU3" t="e">
        <f>VLOOKUP(BU2,BV2:BW9,2,0)</f>
        <v>#N/A</v>
      </c>
      <c r="BV3" t="s">
        <v>1015</v>
      </c>
      <c r="BW3" t="s">
        <v>1012</v>
      </c>
      <c r="BY3" t="str">
        <f>'Translate&amp;Prices&amp;Logo'!$B$230</f>
        <v>Vľavo</v>
      </c>
      <c r="BZ3">
        <v>1</v>
      </c>
      <c r="CA3">
        <v>32</v>
      </c>
      <c r="CD3" t="s">
        <v>2374</v>
      </c>
      <c r="CE3">
        <v>1</v>
      </c>
      <c r="CF3">
        <v>1</v>
      </c>
      <c r="DN3" t="e">
        <f>IF(OR(Ram_6!$H$13&amp;Ram_6!$AU$7=Ram_6!$M$44,
Ram_6!$H$13&amp;Ram_6!$AU$7=Ram_6!$M$45,
Ram_6!$H$13&amp;Ram_6!$AU$7=Ram_6!$M$46,
Ram_6!$H$13&amp;Ram_6!$AU$7=Ram_6!$M$47),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sieťka ocel čierna mat - rozmer oka 8x4x1 mm</v>
      </c>
      <c r="FA3" s="34" t="str">
        <f>'Translate&amp;Prices&amp;Logo'!B645</f>
        <v>520406 SALICE AIR PUSH TO OPEN niklový závěs s adaptérem sada 2ks</v>
      </c>
    </row>
    <row r="4" spans="1:159">
      <c r="A4" t="str">
        <f>'Translate&amp;Prices&amp;Logo'!$B$8</f>
        <v>BRW biela matt RAL 9003 - maximálna odporúčaná dĺžka profilu 2500 mm</v>
      </c>
      <c r="B4">
        <v>1</v>
      </c>
      <c r="C4" t="s">
        <v>651</v>
      </c>
      <c r="D4">
        <v>0</v>
      </c>
      <c r="G4" t="s">
        <v>951</v>
      </c>
      <c r="H4" t="s">
        <v>382</v>
      </c>
      <c r="I4">
        <v>0</v>
      </c>
      <c r="J4">
        <v>2</v>
      </c>
      <c r="K4" t="s">
        <v>651</v>
      </c>
      <c r="M4" t="s">
        <v>955</v>
      </c>
      <c r="N4" t="s">
        <v>856</v>
      </c>
      <c r="X4" t="str">
        <f>'Translate&amp;Prices&amp;Logo'!$B$564</f>
        <v>biela</v>
      </c>
      <c r="Y4">
        <v>2</v>
      </c>
      <c r="AA4" t="s">
        <v>954</v>
      </c>
      <c r="AB4" t="s">
        <v>2374</v>
      </c>
      <c r="AC4">
        <v>1</v>
      </c>
      <c r="AD4">
        <v>1</v>
      </c>
      <c r="AF4" t="s">
        <v>106</v>
      </c>
      <c r="AG4" t="s">
        <v>2377</v>
      </c>
      <c r="AY4" t="s">
        <v>984</v>
      </c>
      <c r="AZ4" t="s">
        <v>1017</v>
      </c>
      <c r="BK4" t="s">
        <v>106</v>
      </c>
      <c r="BV4" t="s">
        <v>1016</v>
      </c>
      <c r="BW4" t="s">
        <v>1011</v>
      </c>
      <c r="BY4" t="str">
        <f>'Translate&amp;Prices&amp;Logo'!$B$229</f>
        <v>Vpravo</v>
      </c>
      <c r="BZ4">
        <v>2</v>
      </c>
      <c r="CA4">
        <v>64</v>
      </c>
      <c r="CD4" t="s">
        <v>2154</v>
      </c>
      <c r="CE4">
        <v>1</v>
      </c>
      <c r="CF4">
        <v>0</v>
      </c>
      <c r="DN4" t="e">
        <f>IF(OR(Ram_6!$H$13&amp;Ram_6!$AU$7=Ram_6!$M$44,
Ram_6!$H$13&amp;Ram_6!$AU$7=Ram_6!$M$45,
Ram_6!$H$13&amp;Ram_6!$AU$7=Ram_6!$M$46,
Ram_6!$H$13&amp;Ram_6!$AU$7=Ram_6!$M$47),
'Translate&amp;Prices&amp;Logo'!B657,'Translate&amp;Prices&amp;Logo'!B555)</f>
        <v>#N/A</v>
      </c>
      <c r="ED4" t="s">
        <v>1651</v>
      </c>
      <c r="EE4" t="s">
        <v>3247</v>
      </c>
      <c r="EJ4">
        <v>2</v>
      </c>
      <c r="EK4" t="s">
        <v>114</v>
      </c>
      <c r="EN4" t="str">
        <f>'Translate&amp;Prices&amp;Logo'!B639</f>
        <v>Kalené (termín dodania 4 týždne)</v>
      </c>
      <c r="EO4">
        <v>2</v>
      </c>
      <c r="ER4" t="s">
        <v>2449</v>
      </c>
      <c r="ES4" t="s">
        <v>2450</v>
      </c>
      <c r="EV4">
        <v>4</v>
      </c>
      <c r="EW4" t="s">
        <v>2181</v>
      </c>
      <c r="EY4" s="213" t="str">
        <f>'Translate&amp;Prices&amp;Logo'!B166</f>
        <v>sieťka ocel biela - rozmer oka 8x4x1 mm</v>
      </c>
      <c r="FA4" s="34" t="str">
        <f>'Translate&amp;Prices&amp;Logo'!B646</f>
        <v>520407 SALICE AIR PUSH TO OPEN niklový závěs s adaptérem sada 2ks</v>
      </c>
    </row>
    <row r="5" spans="1:159">
      <c r="A5" t="str">
        <f>'Translate&amp;Prices&amp;Logo'!$B$9</f>
        <v>BRW biela lesk RAL 9003 - maximálna odporúčaná dĺžka profilu 2500 mm</v>
      </c>
      <c r="B5">
        <v>1</v>
      </c>
      <c r="C5" t="s">
        <v>651</v>
      </c>
      <c r="D5">
        <v>0</v>
      </c>
      <c r="F5" t="s">
        <v>957</v>
      </c>
      <c r="G5" t="s">
        <v>381</v>
      </c>
      <c r="H5" t="s">
        <v>951</v>
      </c>
      <c r="I5">
        <v>1</v>
      </c>
      <c r="J5">
        <v>2</v>
      </c>
      <c r="K5" t="s">
        <v>651</v>
      </c>
      <c r="M5" t="s">
        <v>958</v>
      </c>
      <c r="N5" t="s">
        <v>556</v>
      </c>
      <c r="X5" t="str">
        <f>'Translate&amp;Prices&amp;Logo'!$B$565</f>
        <v>čierna</v>
      </c>
      <c r="Y5">
        <v>3</v>
      </c>
      <c r="AA5" t="s">
        <v>954</v>
      </c>
      <c r="AB5" t="s">
        <v>2378</v>
      </c>
      <c r="AC5">
        <v>0</v>
      </c>
      <c r="AD5">
        <v>0</v>
      </c>
      <c r="AF5" t="s">
        <v>105</v>
      </c>
      <c r="AG5" t="s">
        <v>2379</v>
      </c>
      <c r="AY5" t="s">
        <v>984</v>
      </c>
      <c r="AZ5" t="s">
        <v>1018</v>
      </c>
      <c r="BK5" t="s">
        <v>961</v>
      </c>
      <c r="BV5" t="s">
        <v>2501</v>
      </c>
      <c r="BW5" t="s">
        <v>2502</v>
      </c>
      <c r="BY5" t="str">
        <f>'Translate&amp;Prices&amp;Logo'!$B$227</f>
        <v>Navrchu</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sieťka elox - rozmer oka 10x6x1 mm</v>
      </c>
      <c r="FA5" s="34" t="str">
        <f>'Translate&amp;Prices&amp;Logo'!B647</f>
        <v>520408 SALICE AIR SOFT niklový závěs s adaptérem sada 2ks</v>
      </c>
    </row>
    <row r="6" spans="1:159">
      <c r="A6" t="str">
        <f>'Translate&amp;Prices&amp;Logo'!$B$11</f>
        <v>BRW brúsené - maximálna odporúčaná dĺžka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čierna matt - maximálna odporúčaná dĺžka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čierna brúsená - maximálna odporúčaná dĺžka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svetlá nerez (INOX ACIER gratta)- maximálna odporúčaná dĺžka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maximálna odporúčaná dĺžka profilu 2500 mm</v>
      </c>
      <c r="B10">
        <v>1</v>
      </c>
      <c r="C10" t="s">
        <v>651</v>
      </c>
      <c r="D10">
        <v>0</v>
      </c>
      <c r="M10" t="str">
        <f>'Translate&amp;Prices&amp;Logo'!B558</f>
        <v>horizontálne (termín dodania 4 týždne)</v>
      </c>
      <c r="N10">
        <f>IF(Ram_6!$H$9=kombinace_6!M10,1,0)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maximálna odporúčaná dĺžka profilu 2500 mm</v>
      </c>
      <c r="B11">
        <v>1</v>
      </c>
      <c r="C11" t="s">
        <v>651</v>
      </c>
      <c r="D11">
        <v>0</v>
      </c>
      <c r="M11" t="str">
        <f>'Translate&amp;Prices&amp;Logo'!B559</f>
        <v>Vertikálne (termín dodania 4 týždne)</v>
      </c>
      <c r="N11">
        <f>IF(Ram_6!$H$9=kombinace_6!M11,2,0)</f>
        <v>0</v>
      </c>
      <c r="AC11">
        <v>0</v>
      </c>
      <c r="AD11">
        <v>0</v>
      </c>
      <c r="AF11" t="s">
        <v>105</v>
      </c>
      <c r="AG11" t="s">
        <v>969</v>
      </c>
      <c r="AY11" t="s">
        <v>954</v>
      </c>
      <c r="AZ11" t="s">
        <v>1023</v>
      </c>
      <c r="BQ11" s="215" t="s">
        <v>2267</v>
      </c>
      <c r="BY11">
        <v>5</v>
      </c>
      <c r="CA11">
        <v>240</v>
      </c>
      <c r="CD11" t="str">
        <f>CONCATENATE('Translate&amp;Prices&amp;Logo'!B664,"_K12")</f>
        <v>dolný_K12</v>
      </c>
      <c r="CE11">
        <v>1</v>
      </c>
      <c r="CF11">
        <v>0</v>
      </c>
      <c r="DN11" t="s">
        <v>69</v>
      </c>
      <c r="DO11" s="2" t="s">
        <v>69</v>
      </c>
      <c r="ED11" t="s">
        <v>1658</v>
      </c>
      <c r="EE11" t="s">
        <v>1752</v>
      </c>
      <c r="ER11" t="s">
        <v>2159</v>
      </c>
      <c r="ES11" t="s">
        <v>2165</v>
      </c>
    </row>
    <row r="12" spans="1:159">
      <c r="A12" t="str">
        <f>'Translate&amp;Prices&amp;Logo'!$B$70</f>
        <v>BRW champagne light - maximálna odporúčaná dĺžka profilu 2500 mm</v>
      </c>
      <c r="B12">
        <v>1</v>
      </c>
      <c r="C12" t="s">
        <v>651</v>
      </c>
      <c r="D12">
        <v>0</v>
      </c>
      <c r="M12" t="str">
        <f>'Translate&amp;Prices&amp;Logo'!B560</f>
        <v>Horizontálne aj vertikálne (termín dodania 4 týždne)</v>
      </c>
      <c r="N12">
        <f>IF(Ram_6!$H$9=kombinace_6!M12,3,0)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maximálna odporúčaná dĺžka profilu 2500 mm</v>
      </c>
      <c r="B13">
        <v>1</v>
      </c>
      <c r="C13" t="s">
        <v>651</v>
      </c>
      <c r="D13">
        <v>0</v>
      </c>
      <c r="AC13">
        <v>0</v>
      </c>
      <c r="AD13">
        <v>0</v>
      </c>
      <c r="AF13" t="s">
        <v>105</v>
      </c>
      <c r="AG13" t="s">
        <v>972</v>
      </c>
      <c r="AY13" t="s">
        <v>954</v>
      </c>
      <c r="AZ13" t="s">
        <v>1025</v>
      </c>
      <c r="BQ13" s="216"/>
      <c r="BR13" t="s">
        <v>966</v>
      </c>
      <c r="BY13" t="str">
        <f>'Translate&amp;Prices&amp;Logo'!$B$558</f>
        <v>horizontálne (termín dodania 4 týždne)</v>
      </c>
      <c r="BZ13">
        <v>1</v>
      </c>
      <c r="CA13">
        <v>288</v>
      </c>
      <c r="CD13" t="str">
        <f>CONCATENATE('Translate&amp;Prices&amp;Logo'!B664,"_kraby")</f>
        <v>dolný_kraby</v>
      </c>
      <c r="CE13">
        <v>1</v>
      </c>
      <c r="CF13">
        <v>0</v>
      </c>
      <c r="DN13" t="s">
        <v>220</v>
      </c>
      <c r="DO13" s="2" t="s">
        <v>68</v>
      </c>
      <c r="ED13" t="s">
        <v>2511</v>
      </c>
      <c r="EE13" t="s">
        <v>2510</v>
      </c>
      <c r="ER13" t="s">
        <v>2161</v>
      </c>
      <c r="ES13" t="s">
        <v>2161</v>
      </c>
    </row>
    <row r="14" spans="1:159">
      <c r="A14" t="str">
        <f>'Translate&amp;Prices&amp;Logo'!$B$16</f>
        <v>BRW tmavá nerez brúsená (INOX LIJA) - maximálna odporúčaná dĺžka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Vertikálne (termín dodania 4 týždne)</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maximálna odporúčaná dĺžka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Horizontálne aj vertikálne (termín dodania 4 týždne)</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maximálna odporúčaná dĺžka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StrongLift_horný</v>
      </c>
      <c r="CE16">
        <v>1</v>
      </c>
      <c r="CF16">
        <v>1</v>
      </c>
      <c r="DN16" t="s">
        <v>284</v>
      </c>
      <c r="DO16" s="2" t="s">
        <v>68</v>
      </c>
      <c r="ED16" t="s">
        <v>1662</v>
      </c>
      <c r="EE16" t="s">
        <v>1756</v>
      </c>
      <c r="ER16" t="s">
        <v>2450</v>
      </c>
      <c r="ES16" t="s">
        <v>2450</v>
      </c>
      <c r="FC16" s="251"/>
    </row>
    <row r="17" spans="1:159">
      <c r="A17" t="str">
        <f>'Translate&amp;Prices&amp;Logo'!$B$55</f>
        <v>BRW zlatá brúsená - maximálna odporúčaná dĺžka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StrongLift_spodný</v>
      </c>
      <c r="CE17">
        <v>1</v>
      </c>
      <c r="CF17">
        <v>1</v>
      </c>
      <c r="DN17" t="s">
        <v>1244</v>
      </c>
      <c r="DO17" s="2" t="s">
        <v>69</v>
      </c>
      <c r="ED17" t="s">
        <v>1663</v>
      </c>
      <c r="EE17" t="s">
        <v>1757</v>
      </c>
      <c r="ER17" t="s">
        <v>2452</v>
      </c>
      <c r="ES17" t="s">
        <v>2452</v>
      </c>
      <c r="FC17" s="251"/>
    </row>
    <row r="18" spans="1:159">
      <c r="A18" t="str">
        <f>'Translate&amp;Prices&amp;Logo'!$B$17</f>
        <v>Corleone (elox.) - maximálna odporúčaná dĺžka profilu 1500 mm</v>
      </c>
      <c r="B18">
        <v>2</v>
      </c>
      <c r="C18" t="s">
        <v>651</v>
      </c>
      <c r="D18">
        <v>0</v>
      </c>
      <c r="E18">
        <v>3</v>
      </c>
      <c r="F18" t="str">
        <f>'Translate&amp;Prices&amp;Logo'!$B$80</f>
        <v>Rocca elox (Vľavo a vpravo) + Varna elox (Hore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čierne mat - maximálna odporúčaná dĺžka profilu 1500 mm</v>
      </c>
      <c r="B19">
        <v>2</v>
      </c>
      <c r="C19" t="s">
        <v>651</v>
      </c>
      <c r="D19">
        <v>0</v>
      </c>
      <c r="F19" t="str">
        <f>'Translate&amp;Prices&amp;Logo'!$B$81</f>
        <v>Rocca čierna (Vľavo a vpravo) + Varna čierna (Hore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čierna mat - maximálna odporúčaná dĺžka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maximálna odporúčaná dĺžka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maximálna odporúčaná dĺžka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čierna mat - maximálna odporúčaná dĺžka profilu 2500 mm</v>
      </c>
      <c r="B23">
        <v>2</v>
      </c>
      <c r="C23" t="s">
        <v>998</v>
      </c>
      <c r="D23">
        <v>0</v>
      </c>
      <c r="AA23" t="s">
        <v>966</v>
      </c>
      <c r="AB23" t="e">
        <f>IF(Ram_6!AU7=2,"FREEspace","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biela matt RAL 9003 - maximálna odporúčaná dĺžka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maximálna odporúčaná dĺžka profilu 2150 mm</v>
      </c>
      <c r="B25">
        <v>2</v>
      </c>
      <c r="C25" t="s">
        <v>998</v>
      </c>
      <c r="D25">
        <v>0</v>
      </c>
      <c r="AF25" t="s">
        <v>105</v>
      </c>
      <c r="AG25" t="s">
        <v>980</v>
      </c>
      <c r="ED25" t="s">
        <v>1671</v>
      </c>
      <c r="EE25" t="s">
        <v>3259</v>
      </c>
      <c r="ER25" t="s">
        <v>2171</v>
      </c>
      <c r="ES25" t="s">
        <v>2171</v>
      </c>
    </row>
    <row r="26" spans="1:159">
      <c r="A26" t="str">
        <f>'Translate&amp;Prices&amp;Logo'!$B$22</f>
        <v>Modena (elox.) - maximálna odporúčaná dĺžka profilu 2500 mm</v>
      </c>
      <c r="B26">
        <v>2</v>
      </c>
      <c r="C26" t="s">
        <v>651</v>
      </c>
      <c r="D26">
        <v>0</v>
      </c>
      <c r="AF26" t="s">
        <v>106</v>
      </c>
      <c r="AG26" t="s">
        <v>980</v>
      </c>
      <c r="ED26" t="s">
        <v>1672</v>
      </c>
      <c r="EE26" t="s">
        <v>3260</v>
      </c>
      <c r="ER26" t="s">
        <v>2172</v>
      </c>
      <c r="ES26" t="s">
        <v>2172</v>
      </c>
    </row>
    <row r="27" spans="1:159">
      <c r="A27" t="str">
        <f>'Translate&amp;Prices&amp;Logo'!$B$23</f>
        <v>Modena čierna matt - maximálna odporúčaná dĺžka profilu 2500 mm</v>
      </c>
      <c r="B27">
        <v>2</v>
      </c>
      <c r="C27" t="s">
        <v>651</v>
      </c>
      <c r="D27">
        <v>0</v>
      </c>
      <c r="AF27" t="s">
        <v>105</v>
      </c>
      <c r="AG27" t="s">
        <v>981</v>
      </c>
      <c r="ED27" t="s">
        <v>1673</v>
      </c>
      <c r="EE27" t="s">
        <v>3262</v>
      </c>
      <c r="ER27" t="s">
        <v>2173</v>
      </c>
      <c r="ES27" t="s">
        <v>2173</v>
      </c>
    </row>
    <row r="28" spans="1:159">
      <c r="A28" t="str">
        <f>'Translate&amp;Prices&amp;Logo'!$B$25</f>
        <v>Modena čierna brúsená - maximálna odporúčaná dĺžka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brúsená LIJA - maximálna odporúčaná dĺžka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maximálna odporúčaná dĺžka profilu 2500 mm</v>
      </c>
      <c r="B30">
        <v>2</v>
      </c>
      <c r="C30" t="s">
        <v>651</v>
      </c>
      <c r="D30">
        <v>0</v>
      </c>
      <c r="AA30" t="s">
        <v>976</v>
      </c>
      <c r="AB30" t="str">
        <f>CONCATENATE('Translate&amp;Prices&amp;Logo'!B664,"_K12")</f>
        <v>dolný_K12</v>
      </c>
      <c r="AC30">
        <v>1</v>
      </c>
      <c r="AD30">
        <v>0</v>
      </c>
      <c r="AF30" t="s">
        <v>106</v>
      </c>
      <c r="AG30" t="s">
        <v>982</v>
      </c>
      <c r="ED30" t="s">
        <v>1676</v>
      </c>
      <c r="EE30" t="s">
        <v>3265</v>
      </c>
      <c r="ER30" t="s">
        <v>2463</v>
      </c>
      <c r="ES30" t="s">
        <v>2463</v>
      </c>
    </row>
    <row r="31" spans="1:159">
      <c r="A31" t="str">
        <f>'Translate&amp;Prices&amp;Logo'!$B$29</f>
        <v>Pisa (elox.) - maximálna odporúčaná dĺžka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biela mat RAL 9003 - maximálna odporúčaná dĺžka profilu 2500 mm</v>
      </c>
      <c r="B32">
        <v>2</v>
      </c>
      <c r="C32" t="s">
        <v>998</v>
      </c>
      <c r="D32">
        <v>0</v>
      </c>
      <c r="AA32" t="s">
        <v>976</v>
      </c>
      <c r="AB32" t="str">
        <f>CONCATENATE('Translate&amp;Prices&amp;Logo'!B664,"_kraby")</f>
        <v>dolný_kraby</v>
      </c>
      <c r="AC32">
        <v>1</v>
      </c>
      <c r="AD32">
        <v>0</v>
      </c>
      <c r="AF32" t="s">
        <v>106</v>
      </c>
      <c r="AG32" t="s">
        <v>983</v>
      </c>
      <c r="BY32" t="str">
        <f>'Translate&amp;Prices&amp;Logo'!$B$230</f>
        <v>Vľavo</v>
      </c>
      <c r="BZ32" t="str">
        <f>'Translate&amp;Prices&amp;Logo'!$B$589</f>
        <v>(Spodného)</v>
      </c>
      <c r="CA32" t="str">
        <f>'Translate&amp;Prices&amp;Logo'!$B$591</f>
        <v>(Horného)</v>
      </c>
      <c r="CC32" t="str">
        <f>'Translate&amp;Prices&amp;Logo'!$O$589</f>
        <v>(dolnej)</v>
      </c>
      <c r="CD32" t="str">
        <f>'Translate&amp;Prices&amp;Logo'!$O$591</f>
        <v>(górnej)</v>
      </c>
      <c r="ED32" t="s">
        <v>1678</v>
      </c>
      <c r="EE32" t="s">
        <v>3267</v>
      </c>
      <c r="ER32" t="s">
        <v>2465</v>
      </c>
      <c r="ES32" t="s">
        <v>2465</v>
      </c>
    </row>
    <row r="33" spans="1:149">
      <c r="A33" t="str">
        <f>'Translate&amp;Prices&amp;Logo'!$B$53</f>
        <v>Pisa biela lesk RAL 9003 - maximálna odporúčaná dĺžka profilu 2500 mm</v>
      </c>
      <c r="B33">
        <v>2</v>
      </c>
      <c r="C33" t="s">
        <v>998</v>
      </c>
      <c r="D33">
        <v>0</v>
      </c>
      <c r="AA33" t="s">
        <v>976</v>
      </c>
      <c r="AB33" t="s">
        <v>980</v>
      </c>
      <c r="AC33">
        <v>1</v>
      </c>
      <c r="AD33">
        <v>0</v>
      </c>
      <c r="AF33" t="s">
        <v>105</v>
      </c>
      <c r="AG33" t="s">
        <v>985</v>
      </c>
      <c r="BY33" t="str">
        <f>'Translate&amp;Prices&amp;Logo'!$B$229</f>
        <v>Vpravo</v>
      </c>
      <c r="BZ33" t="str">
        <f>'Translate&amp;Prices&amp;Logo'!$B$589</f>
        <v>(Spodného)</v>
      </c>
      <c r="CA33" t="str">
        <f>'Translate&amp;Prices&amp;Logo'!$B$591</f>
        <v>(Horného)</v>
      </c>
      <c r="CC33" t="str">
        <f>'Translate&amp;Prices&amp;Logo'!$O$589</f>
        <v>(dolnej)</v>
      </c>
      <c r="CD33" t="str">
        <f>'Translate&amp;Prices&amp;Logo'!$O$591</f>
        <v>(górnej)</v>
      </c>
      <c r="ED33" t="s">
        <v>1679</v>
      </c>
      <c r="EE33" t="s">
        <v>3268</v>
      </c>
      <c r="ER33" t="s">
        <v>2466</v>
      </c>
      <c r="ES33" t="s">
        <v>2466</v>
      </c>
    </row>
    <row r="34" spans="1:149">
      <c r="A34" t="str">
        <f>'Translate&amp;Prices&amp;Logo'!$B$30</f>
        <v>Pisa čierna matt - maximálna odporúčaná dĺžka profilu 2500 mm</v>
      </c>
      <c r="B34">
        <v>2</v>
      </c>
      <c r="C34" t="s">
        <v>998</v>
      </c>
      <c r="D34">
        <v>0</v>
      </c>
      <c r="AA34" t="s">
        <v>976</v>
      </c>
      <c r="AB34" t="s">
        <v>981</v>
      </c>
      <c r="AC34">
        <v>1</v>
      </c>
      <c r="AD34">
        <v>0</v>
      </c>
      <c r="AF34" t="s">
        <v>106</v>
      </c>
      <c r="AG34" t="s">
        <v>985</v>
      </c>
      <c r="BY34" t="str">
        <f>'Translate&amp;Prices&amp;Logo'!$B$227</f>
        <v>Navrchu</v>
      </c>
      <c r="BZ34" t="str">
        <f>'Translate&amp;Prices&amp;Logo'!$B$590</f>
        <v>(Ľavého)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maximálna odporúčaná dĺžka profilu 2150 mm</v>
      </c>
      <c r="B35">
        <v>2</v>
      </c>
      <c r="C35" t="s">
        <v>998</v>
      </c>
      <c r="D35">
        <v>0</v>
      </c>
      <c r="BY35" t="str">
        <f>'Translate&amp;Prices&amp;Logo'!$B$228</f>
        <v>Dole</v>
      </c>
      <c r="BZ35" t="str">
        <f>'Translate&amp;Prices&amp;Logo'!$B$590</f>
        <v>(Ľavého)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maximálna odporúčaná dĺžka profilu 2150 mm</v>
      </c>
      <c r="B36">
        <v>1</v>
      </c>
      <c r="C36" t="s">
        <v>651</v>
      </c>
      <c r="D36">
        <v>0</v>
      </c>
      <c r="ED36" t="s">
        <v>1620</v>
      </c>
      <c r="EE36" t="s">
        <v>1776</v>
      </c>
      <c r="ER36" t="s">
        <v>2176</v>
      </c>
      <c r="ES36" t="s">
        <v>2176</v>
      </c>
    </row>
    <row r="37" spans="1:149">
      <c r="A37" t="str">
        <f>'Translate&amp;Prices&amp;Logo'!$B$42</f>
        <v>Rocca čierna mat - maximálna odporúčaná dĺžka profilu 2150 mm</v>
      </c>
      <c r="B37">
        <v>1</v>
      </c>
      <c r="C37" t="s">
        <v>651</v>
      </c>
      <c r="D37">
        <v>0</v>
      </c>
      <c r="BY37" t="s">
        <v>1332</v>
      </c>
      <c r="ED37" t="s">
        <v>1621</v>
      </c>
      <c r="EE37" t="s">
        <v>1777</v>
      </c>
      <c r="ER37" t="s">
        <v>2219</v>
      </c>
      <c r="ES37" t="s">
        <v>2213</v>
      </c>
    </row>
    <row r="38" spans="1:149">
      <c r="A38" t="str">
        <f>'Translate&amp;Prices&amp;Logo'!$B$63</f>
        <v>Treviso čierna matt - maximálna odporúčaná dĺžka profilu 2750 mm</v>
      </c>
      <c r="B38">
        <v>1</v>
      </c>
      <c r="C38" t="s">
        <v>651</v>
      </c>
      <c r="D38">
        <v>0</v>
      </c>
      <c r="ED38" t="s">
        <v>1622</v>
      </c>
      <c r="EE38" t="s">
        <v>1778</v>
      </c>
      <c r="ER38" t="s">
        <v>2220</v>
      </c>
      <c r="ES38" t="s">
        <v>2214</v>
      </c>
    </row>
    <row r="39" spans="1:149">
      <c r="A39" t="str">
        <f>'Translate&amp;Prices&amp;Logo'!$B$34</f>
        <v>Verona (elox.) - maximálna odporúčaná dĺžka profilu 2500 mm</v>
      </c>
      <c r="B39">
        <v>1</v>
      </c>
      <c r="C39" t="s">
        <v>651</v>
      </c>
      <c r="D39">
        <v>0</v>
      </c>
      <c r="AA39" t="s">
        <v>2504</v>
      </c>
      <c r="AB39" t="s">
        <v>2502</v>
      </c>
      <c r="ED39" t="s">
        <v>1623</v>
      </c>
      <c r="EE39" t="s">
        <v>1779</v>
      </c>
      <c r="ER39" t="s">
        <v>2221</v>
      </c>
      <c r="ES39" t="s">
        <v>2215</v>
      </c>
    </row>
    <row r="40" spans="1:149">
      <c r="A40" t="str">
        <f>'Translate&amp;Prices&amp;Logo'!$B$35</f>
        <v>Verona brúsená - maximálna odporúčaná dĺžka profilu 2500 mm</v>
      </c>
      <c r="B40">
        <v>1</v>
      </c>
      <c r="C40" t="s">
        <v>651</v>
      </c>
      <c r="D40">
        <v>0</v>
      </c>
      <c r="AA40" t="s">
        <v>2504</v>
      </c>
      <c r="AB40" t="str">
        <f>'Translate&amp;Prices&amp;Logo'!B659</f>
        <v>StrongLift_horný</v>
      </c>
      <c r="AC40">
        <v>1</v>
      </c>
      <c r="AD40">
        <v>0</v>
      </c>
      <c r="ED40" t="s">
        <v>1624</v>
      </c>
      <c r="EE40" t="s">
        <v>1780</v>
      </c>
      <c r="ER40" t="s">
        <v>2222</v>
      </c>
      <c r="ES40" t="s">
        <v>2216</v>
      </c>
    </row>
    <row r="41" spans="1:149">
      <c r="A41" t="str">
        <f>'Translate&amp;Prices&amp;Logo'!$B$37</f>
        <v>Verona čierna mat - maximálna odporúčaná dĺžka profilu 2500 mm</v>
      </c>
      <c r="B41">
        <v>1</v>
      </c>
      <c r="C41" t="s">
        <v>651</v>
      </c>
      <c r="D41">
        <v>0</v>
      </c>
      <c r="AB41" t="str">
        <f>'Translate&amp;Prices&amp;Logo'!B660</f>
        <v>StrongLift_spodný</v>
      </c>
      <c r="AC41">
        <v>1</v>
      </c>
      <c r="AD41">
        <v>0</v>
      </c>
      <c r="ED41" t="s">
        <v>1625</v>
      </c>
      <c r="EE41" t="s">
        <v>1781</v>
      </c>
      <c r="ER41" t="s">
        <v>2223</v>
      </c>
      <c r="ES41" t="s">
        <v>2217</v>
      </c>
    </row>
    <row r="42" spans="1:149">
      <c r="A42" t="str">
        <f>'Translate&amp;Prices&amp;Logo'!$B$36</f>
        <v>Verona čierna lesk - maximálna odporúčaná dĺžka profilu 2500 mm</v>
      </c>
      <c r="B42">
        <v>1</v>
      </c>
      <c r="C42" t="s">
        <v>651</v>
      </c>
      <c r="D42">
        <v>0</v>
      </c>
      <c r="AA42" t="s">
        <v>2086</v>
      </c>
      <c r="AB42" t="s">
        <v>1010</v>
      </c>
      <c r="ED42" t="s">
        <v>1626</v>
      </c>
      <c r="EE42" t="s">
        <v>1782</v>
      </c>
      <c r="ER42" t="s">
        <v>2224</v>
      </c>
      <c r="ES42" t="s">
        <v>2218</v>
      </c>
    </row>
    <row r="43" spans="1:149">
      <c r="A43" t="str">
        <f>'Translate&amp;Prices&amp;Logo'!$B$38</f>
        <v>Verona hnědá - maximálna odporúčaná dĺžka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maximálna odporúčaná dĺžka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nerez brúsená - maximálna odporúčaná dĺžka profilu 2500 mm</v>
      </c>
      <c r="B45">
        <v>1</v>
      </c>
      <c r="C45" t="s">
        <v>651</v>
      </c>
      <c r="D45">
        <v>0</v>
      </c>
      <c r="AB45" t="s">
        <v>1111</v>
      </c>
      <c r="AC45">
        <v>0</v>
      </c>
      <c r="AD45">
        <v>0</v>
      </c>
      <c r="ED45" t="s">
        <v>1629</v>
      </c>
      <c r="EE45" t="s">
        <v>1785</v>
      </c>
      <c r="ER45" t="s">
        <v>2243</v>
      </c>
      <c r="ES45" t="s">
        <v>2237</v>
      </c>
    </row>
    <row r="46" spans="1:149">
      <c r="A46" t="str">
        <f>'Translate&amp;Prices&amp;Logo'!$B$41</f>
        <v>Verona svetlá nerez brúsená Acier - maximálna odporúčaná dĺžka profilu 2500 mm</v>
      </c>
      <c r="B46">
        <v>1</v>
      </c>
      <c r="C46" t="s">
        <v>651</v>
      </c>
      <c r="D46">
        <v>0</v>
      </c>
      <c r="ED46" t="s">
        <v>1630</v>
      </c>
      <c r="EE46" t="s">
        <v>1786</v>
      </c>
      <c r="ER46" t="s">
        <v>2244</v>
      </c>
      <c r="ES46" t="s">
        <v>2238</v>
      </c>
    </row>
    <row r="47" spans="1:149">
      <c r="A47" t="str">
        <f>'Translate&amp;Prices&amp;Logo'!$B$62</f>
        <v>Verona Ivory mat - maximálna odporúčaná dĺžka profilu 2150 mm</v>
      </c>
      <c r="B47">
        <v>1</v>
      </c>
      <c r="C47" t="s">
        <v>651</v>
      </c>
      <c r="D47">
        <v>0</v>
      </c>
      <c r="ED47" t="s">
        <v>1631</v>
      </c>
      <c r="EE47" t="s">
        <v>1787</v>
      </c>
      <c r="ER47" t="s">
        <v>2245</v>
      </c>
      <c r="ES47" t="s">
        <v>2239</v>
      </c>
    </row>
    <row r="48" spans="1:149">
      <c r="A48" t="str">
        <f>'Translate&amp;Prices&amp;Logo'!$B$65</f>
        <v>Verona kašmír - maximálna odporúčaná dĺžka profilu 2150 mm</v>
      </c>
      <c r="B48">
        <v>1</v>
      </c>
      <c r="C48" t="s">
        <v>651</v>
      </c>
      <c r="D48">
        <v>0</v>
      </c>
      <c r="ED48" t="s">
        <v>1632</v>
      </c>
      <c r="EE48" t="s">
        <v>1788</v>
      </c>
      <c r="ER48" t="s">
        <v>2246</v>
      </c>
      <c r="ES48" t="s">
        <v>2240</v>
      </c>
    </row>
    <row r="49" spans="1:149">
      <c r="A49" t="str">
        <f>'Translate&amp;Prices&amp;Logo'!$B$24</f>
        <v>Verona zlatá - maximálna odporúčaná dĺžka profilu 2150 mm</v>
      </c>
      <c r="B49">
        <v>1</v>
      </c>
      <c r="C49" t="s">
        <v>651</v>
      </c>
      <c r="D49">
        <v>0</v>
      </c>
      <c r="AA49" t="s">
        <v>2087</v>
      </c>
      <c r="AB49" t="s">
        <v>2089</v>
      </c>
      <c r="ED49" t="s">
        <v>1633</v>
      </c>
      <c r="EE49" t="s">
        <v>1789</v>
      </c>
      <c r="ER49" t="s">
        <v>2247</v>
      </c>
      <c r="ES49" t="s">
        <v>2241</v>
      </c>
    </row>
    <row r="50" spans="1:149">
      <c r="A50" t="str">
        <f>'Translate&amp;Prices&amp;Logo'!$B$56</f>
        <v>Verona zlatá brúsená - maximálna odporúčaná dĺžka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maximálna odporúčaná dĺžka profilu 2500 mm</v>
      </c>
      <c r="B51">
        <v>2</v>
      </c>
      <c r="C51" t="s">
        <v>651</v>
      </c>
      <c r="D51">
        <v>1</v>
      </c>
      <c r="AB51" t="s">
        <v>2380</v>
      </c>
      <c r="AC51">
        <v>0</v>
      </c>
      <c r="AD51">
        <v>0</v>
      </c>
      <c r="ED51" t="s">
        <v>1635</v>
      </c>
      <c r="EE51" t="s">
        <v>1791</v>
      </c>
      <c r="ER51" t="s">
        <v>2477</v>
      </c>
      <c r="ES51" t="s">
        <v>2469</v>
      </c>
    </row>
    <row r="52" spans="1:149">
      <c r="A52" t="str">
        <f>'Translate&amp;Prices&amp;Logo'!$B$44</f>
        <v>Vivaro čierne mat - maximálna odporúčaná dĺžka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maximálna odporúčaná dĺžka profilu 2500 mm</v>
      </c>
      <c r="B53">
        <v>2</v>
      </c>
      <c r="C53" t="s">
        <v>651</v>
      </c>
      <c r="D53">
        <v>0</v>
      </c>
      <c r="AB53" t="s">
        <v>2376</v>
      </c>
      <c r="AC53">
        <v>0</v>
      </c>
      <c r="AD53">
        <v>0</v>
      </c>
      <c r="ED53" t="s">
        <v>1637</v>
      </c>
      <c r="EE53" t="s">
        <v>1793</v>
      </c>
      <c r="ER53" t="s">
        <v>2479</v>
      </c>
      <c r="ES53" t="s">
        <v>2471</v>
      </c>
    </row>
    <row r="54" spans="1:149">
      <c r="A54" t="str">
        <f>'Translate&amp;Prices&amp;Logo'!$B$47</f>
        <v>Vivaro biela matt RAL 9003 - maximálna odporúčaná dĺžka profilu 2500 mm</v>
      </c>
      <c r="B54">
        <v>2</v>
      </c>
      <c r="C54" t="s">
        <v>651</v>
      </c>
      <c r="D54">
        <v>0</v>
      </c>
      <c r="ED54" t="s">
        <v>1638</v>
      </c>
      <c r="EE54" t="s">
        <v>1794</v>
      </c>
      <c r="ER54" t="s">
        <v>2480</v>
      </c>
      <c r="ES54" t="s">
        <v>2472</v>
      </c>
    </row>
    <row r="55" spans="1:149">
      <c r="A55" t="str">
        <f>'Translate&amp;Prices&amp;Logo'!$B$48</f>
        <v>Vivaro biela lesk RAL 9003 - maximálna odporúčaná dĺžka profilu 2500 mm</v>
      </c>
      <c r="B55">
        <v>2</v>
      </c>
      <c r="C55" t="s">
        <v>651</v>
      </c>
      <c r="D55">
        <v>0</v>
      </c>
      <c r="ED55" t="s">
        <v>1639</v>
      </c>
      <c r="EE55" t="s">
        <v>1795</v>
      </c>
      <c r="ER55" t="s">
        <v>2481</v>
      </c>
      <c r="ES55" t="s">
        <v>2473</v>
      </c>
    </row>
    <row r="56" spans="1:149">
      <c r="A56" t="str">
        <f>'Translate&amp;Prices&amp;Logo'!$B$31</f>
        <v>Vivaro zlatá - maximálna odporúčaná dĺžka profilu 2150 mm</v>
      </c>
      <c r="B56">
        <v>2</v>
      </c>
      <c r="C56" t="s">
        <v>651</v>
      </c>
      <c r="D56">
        <v>1</v>
      </c>
      <c r="ED56" t="s">
        <v>1640</v>
      </c>
      <c r="EE56" t="s">
        <v>1796</v>
      </c>
      <c r="ER56" t="s">
        <v>2482</v>
      </c>
      <c r="ES56" t="s">
        <v>2474</v>
      </c>
    </row>
    <row r="57" spans="1:149">
      <c r="A57" t="str">
        <f>'Translate&amp;Prices&amp;Logo'!$B$57</f>
        <v>Vivaro zlatá brúsená - maximálna odporúčaná dĺžka profilu 2150 mm</v>
      </c>
      <c r="B57">
        <v>2</v>
      </c>
      <c r="C57" t="s">
        <v>651</v>
      </c>
      <c r="D57">
        <v>0</v>
      </c>
      <c r="ED57" t="s">
        <v>1641</v>
      </c>
      <c r="EE57" t="s">
        <v>1797</v>
      </c>
      <c r="ER57" t="s">
        <v>2225</v>
      </c>
      <c r="ES57" t="s">
        <v>2213</v>
      </c>
    </row>
    <row r="58" spans="1:149">
      <c r="A58" t="str">
        <f>'Translate&amp;Prices&amp;Logo'!$B$80</f>
        <v>Rocca elox (Vľavo a vpravo) + Varna elox (Hore a dole)</v>
      </c>
      <c r="B58">
        <v>3</v>
      </c>
      <c r="C58" t="s">
        <v>651</v>
      </c>
      <c r="D58">
        <v>0</v>
      </c>
      <c r="ED58" t="s">
        <v>1642</v>
      </c>
      <c r="EE58" t="s">
        <v>1798</v>
      </c>
      <c r="ER58" t="s">
        <v>2226</v>
      </c>
      <c r="ES58" t="s">
        <v>2214</v>
      </c>
    </row>
    <row r="59" spans="1:149">
      <c r="A59" t="str">
        <f>'Translate&amp;Prices&amp;Logo'!$B$81</f>
        <v>Rocca čierna (Vľavo a vpravo) + Varna čierna (Hore a dole)</v>
      </c>
      <c r="B59">
        <v>3</v>
      </c>
      <c r="C59" t="s">
        <v>651</v>
      </c>
      <c r="D59">
        <v>0</v>
      </c>
      <c r="AA59" t="s">
        <v>2088</v>
      </c>
      <c r="AB59" t="s">
        <v>2090</v>
      </c>
      <c r="ED59" t="s">
        <v>1643</v>
      </c>
      <c r="EE59" t="s">
        <v>1799</v>
      </c>
      <c r="ER59" t="s">
        <v>2227</v>
      </c>
      <c r="ES59" t="s">
        <v>2215</v>
      </c>
    </row>
    <row r="60" spans="1:149">
      <c r="A60" t="str">
        <f>'Translate&amp;Prices&amp;Logo'!$B$71</f>
        <v>ROMA čierna mat - maximálna odporúčaná dĺžka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maximálna odporúčaná dĺžka profilu 2696 mm</v>
      </c>
      <c r="B61">
        <v>1</v>
      </c>
      <c r="C61" t="s">
        <v>651</v>
      </c>
      <c r="D61">
        <v>0</v>
      </c>
      <c r="AB61" t="s">
        <v>970</v>
      </c>
      <c r="AC61">
        <v>0</v>
      </c>
      <c r="AD61">
        <v>0</v>
      </c>
      <c r="ED61" t="s">
        <v>1645</v>
      </c>
      <c r="EE61" t="s">
        <v>1801</v>
      </c>
      <c r="ER61" t="s">
        <v>2229</v>
      </c>
      <c r="ES61" t="s">
        <v>2217</v>
      </c>
    </row>
    <row r="62" spans="1:149">
      <c r="A62" t="str">
        <f>'Translate&amp;Prices&amp;Logo'!$B$73</f>
        <v>ROMA GRIP čierna mat - maximálna odporúčaná dĺžka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maximálna odporúčaná dĺžka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maximálna odporúčaná dĺžka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showZeros="0" workbookViewId="0">
      <selection activeCell="I9" sqref="I9:N9"/>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95"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13" t="str">
        <f>'Translate&amp;Prices&amp;Logo'!$B$278</f>
        <v>Posuvné rámčeky</v>
      </c>
      <c r="Q2" s="713"/>
      <c r="R2" s="713"/>
      <c r="S2" s="713"/>
      <c r="T2" s="713"/>
      <c r="U2" s="713"/>
      <c r="V2" s="713"/>
      <c r="W2" s="713"/>
      <c r="X2" s="713"/>
      <c r="Y2" s="713"/>
      <c r="Z2" s="713"/>
      <c r="AA2" s="713"/>
      <c r="AB2" s="713"/>
      <c r="AC2" s="15"/>
      <c r="AD2" s="16"/>
      <c r="AE2" s="17"/>
      <c r="AF2" s="15"/>
      <c r="AG2" s="15"/>
      <c r="AH2" s="15"/>
      <c r="AI2" s="265"/>
      <c r="AJ2" s="709" t="str">
        <f>'Translate&amp;Prices&amp;Logo'!$B$540</f>
        <v>Úvod</v>
      </c>
      <c r="AK2" s="710"/>
      <c r="AL2" s="710"/>
      <c r="AM2" s="710"/>
      <c r="AN2" s="710"/>
    </row>
    <row r="3" spans="1:74" ht="11.85" customHeight="1">
      <c r="A3" s="39"/>
      <c r="B3" s="39"/>
      <c r="C3" s="39"/>
      <c r="D3" s="39"/>
      <c r="E3" s="39"/>
      <c r="F3" s="39"/>
      <c r="G3" s="39"/>
      <c r="H3" s="39"/>
      <c r="I3" s="39"/>
      <c r="J3" s="39"/>
      <c r="K3" s="39"/>
      <c r="L3" s="39"/>
      <c r="M3" s="39"/>
      <c r="N3" s="39"/>
      <c r="O3" s="39"/>
      <c r="P3" s="713"/>
      <c r="Q3" s="713"/>
      <c r="R3" s="713"/>
      <c r="S3" s="713"/>
      <c r="T3" s="713"/>
      <c r="U3" s="713"/>
      <c r="V3" s="713"/>
      <c r="W3" s="713"/>
      <c r="X3" s="713"/>
      <c r="Y3" s="713"/>
      <c r="Z3" s="713"/>
      <c r="AA3" s="713"/>
      <c r="AB3" s="713"/>
      <c r="AC3" s="15"/>
      <c r="AD3" s="16"/>
      <c r="AE3" s="17"/>
      <c r="AF3" s="15"/>
      <c r="AG3" s="15"/>
      <c r="AH3" s="15"/>
      <c r="AI3" s="265"/>
      <c r="AJ3" s="709"/>
      <c r="AK3" s="710"/>
      <c r="AL3" s="710"/>
      <c r="AM3" s="710"/>
      <c r="AN3" s="710"/>
    </row>
    <row r="4" spans="1:74" ht="11.45" customHeight="1">
      <c r="A4" s="38"/>
      <c r="B4" s="38"/>
      <c r="C4" s="38"/>
      <c r="D4" s="38"/>
      <c r="E4" s="38"/>
      <c r="F4" s="38"/>
      <c r="G4" s="38"/>
      <c r="P4" s="714"/>
      <c r="Q4" s="714"/>
      <c r="R4" s="714"/>
      <c r="S4" s="714"/>
      <c r="T4" s="714"/>
      <c r="U4" s="714"/>
      <c r="V4" s="714"/>
      <c r="W4" s="714"/>
      <c r="X4" s="714"/>
      <c r="Y4" s="714"/>
      <c r="Z4" s="714"/>
      <c r="AA4" s="714"/>
      <c r="AB4" s="714"/>
      <c r="AC4" s="714"/>
    </row>
    <row r="5" spans="1:74" ht="15" hidden="1" customHeight="1">
      <c r="A5" s="38"/>
      <c r="B5" s="38"/>
      <c r="C5" s="38"/>
      <c r="D5" s="38"/>
      <c r="E5" s="38"/>
      <c r="F5" s="38"/>
      <c r="G5" s="38"/>
      <c r="P5" s="714"/>
      <c r="Q5" s="714"/>
      <c r="R5" s="714"/>
      <c r="S5" s="714"/>
      <c r="T5" s="714"/>
      <c r="U5" s="714"/>
      <c r="V5" s="714"/>
      <c r="W5" s="714"/>
      <c r="X5" s="714"/>
      <c r="Y5" s="714"/>
      <c r="Z5" s="714"/>
      <c r="AA5" s="714"/>
      <c r="AB5" s="714"/>
      <c r="AC5" s="714"/>
    </row>
    <row r="7" spans="1:74" ht="14.85" customHeight="1">
      <c r="S7" s="711" t="str">
        <f>'Translate&amp;Prices&amp;Logo'!$B$275</f>
        <v>Tu sú uvedené štandardné presahy dvierok</v>
      </c>
      <c r="T7" s="711"/>
      <c r="U7" s="711"/>
      <c r="V7" s="711"/>
      <c r="W7" s="711"/>
      <c r="X7" s="711"/>
      <c r="Y7" s="711"/>
      <c r="Z7" s="711"/>
      <c r="AA7" s="711"/>
      <c r="AB7" s="711"/>
      <c r="AC7" s="711"/>
    </row>
    <row r="8" spans="1:74" ht="7.35" customHeight="1"/>
    <row r="9" spans="1:74" ht="15">
      <c r="C9" s="681" t="str">
        <f>'Translate&amp;Prices&amp;Logo'!$B$249</f>
        <v>Zákazník</v>
      </c>
      <c r="D9" s="681"/>
      <c r="E9" s="681"/>
      <c r="F9" s="681"/>
      <c r="G9" s="681"/>
      <c r="H9" s="290"/>
      <c r="I9" s="511"/>
      <c r="J9" s="511"/>
      <c r="K9" s="511"/>
      <c r="L9" s="511"/>
      <c r="M9" s="511"/>
      <c r="N9" s="511"/>
      <c r="S9" s="679" t="s">
        <v>27</v>
      </c>
      <c r="T9" s="679"/>
      <c r="U9" s="36"/>
      <c r="V9" s="680">
        <v>20</v>
      </c>
      <c r="W9" s="680"/>
      <c r="Y9" s="679" t="s">
        <v>378</v>
      </c>
      <c r="Z9" s="679"/>
      <c r="AA9" s="36"/>
      <c r="AB9" s="680" t="s">
        <v>146</v>
      </c>
      <c r="AC9" s="680"/>
    </row>
    <row r="10" spans="1:74" ht="6.6" customHeight="1">
      <c r="C10" s="55"/>
      <c r="D10" s="55"/>
      <c r="E10" s="55"/>
      <c r="F10" s="55"/>
      <c r="G10" s="55"/>
    </row>
    <row r="11" spans="1:74" ht="15">
      <c r="C11" s="681" t="str">
        <f>'Translate&amp;Prices&amp;Logo'!$B$253</f>
        <v>IČ:</v>
      </c>
      <c r="D11" s="681"/>
      <c r="E11" s="681"/>
      <c r="F11" s="681"/>
      <c r="G11" s="681"/>
      <c r="H11" s="290"/>
      <c r="I11" s="511"/>
      <c r="J11" s="511"/>
      <c r="K11" s="511"/>
      <c r="L11" s="511"/>
      <c r="M11" s="511"/>
      <c r="N11" s="511"/>
      <c r="S11" s="679" t="s">
        <v>377</v>
      </c>
      <c r="T11" s="679"/>
      <c r="U11" s="36"/>
      <c r="V11" s="680">
        <v>20</v>
      </c>
      <c r="W11" s="680"/>
      <c r="Y11" s="679" t="s">
        <v>4213</v>
      </c>
      <c r="Z11" s="679"/>
      <c r="AA11" s="36"/>
      <c r="AB11" s="680">
        <v>28</v>
      </c>
      <c r="AC11" s="680"/>
      <c r="BP11" s="29"/>
      <c r="BQ11" s="304"/>
      <c r="BR11" s="304"/>
      <c r="BS11" s="304"/>
      <c r="BT11" s="304"/>
      <c r="BU11" s="304"/>
      <c r="BV11" s="304"/>
    </row>
    <row r="12" spans="1:74" ht="6.6" customHeight="1">
      <c r="C12" s="55"/>
      <c r="D12" s="55"/>
      <c r="E12" s="55"/>
      <c r="F12" s="55"/>
      <c r="G12" s="55"/>
    </row>
    <row r="13" spans="1:74" ht="15">
      <c r="C13" s="681" t="str">
        <f>'Translate&amp;Prices&amp;Logo'!$B$250</f>
        <v>Kontaktný tel.</v>
      </c>
      <c r="D13" s="681"/>
      <c r="E13" s="681"/>
      <c r="F13" s="681"/>
      <c r="G13" s="681"/>
      <c r="H13" s="290"/>
      <c r="I13" s="511"/>
      <c r="J13" s="511"/>
      <c r="K13" s="511"/>
      <c r="L13" s="511"/>
      <c r="M13" s="511"/>
      <c r="N13" s="511"/>
      <c r="S13" s="679" t="s">
        <v>4212</v>
      </c>
      <c r="T13" s="679"/>
      <c r="U13" s="36"/>
      <c r="V13" s="680">
        <v>28</v>
      </c>
      <c r="W13" s="680"/>
      <c r="Y13" s="679" t="s">
        <v>380</v>
      </c>
      <c r="Z13" s="679"/>
      <c r="AA13" s="36"/>
      <c r="AB13" s="680">
        <v>40</v>
      </c>
      <c r="AC13" s="680"/>
      <c r="AQ13" s="262" t="b">
        <v>0</v>
      </c>
      <c r="BP13" s="29"/>
      <c r="BQ13" s="304"/>
      <c r="BR13" s="304"/>
      <c r="BS13" s="304"/>
      <c r="BT13" s="29"/>
      <c r="BU13" s="29"/>
      <c r="BV13" s="29"/>
    </row>
    <row r="14" spans="1:74" ht="6.6" customHeight="1">
      <c r="C14" s="55"/>
      <c r="D14" s="55"/>
      <c r="E14" s="55"/>
      <c r="F14" s="55"/>
      <c r="G14" s="55"/>
    </row>
    <row r="15" spans="1:74" ht="15">
      <c r="C15" s="681" t="str">
        <f>'Translate&amp;Prices&amp;Logo'!$B$254</f>
        <v>Zľava na rámčeky</v>
      </c>
      <c r="D15" s="681"/>
      <c r="E15" s="681"/>
      <c r="F15" s="681"/>
      <c r="G15" s="681"/>
      <c r="H15" s="290"/>
      <c r="I15" s="511"/>
      <c r="J15" s="511"/>
      <c r="K15" s="511"/>
      <c r="L15" s="511"/>
      <c r="M15" s="511"/>
      <c r="N15" s="511"/>
      <c r="S15" s="679" t="s">
        <v>376</v>
      </c>
      <c r="T15" s="679"/>
      <c r="U15" s="36"/>
      <c r="V15" s="680">
        <v>45</v>
      </c>
      <c r="W15" s="680"/>
      <c r="Y15" s="679" t="s">
        <v>379</v>
      </c>
      <c r="Z15" s="679"/>
      <c r="AA15" s="36"/>
      <c r="AB15" s="680">
        <v>40</v>
      </c>
      <c r="AC15" s="680"/>
    </row>
    <row r="16" spans="1:74" ht="6.6" customHeight="1">
      <c r="C16" s="55"/>
      <c r="D16" s="55"/>
      <c r="E16" s="55"/>
      <c r="F16" s="55"/>
      <c r="G16" s="55"/>
      <c r="I16" s="6"/>
      <c r="J16" s="6"/>
      <c r="K16" s="6"/>
      <c r="L16" s="6"/>
      <c r="M16" s="6"/>
      <c r="N16" s="6"/>
    </row>
    <row r="17" spans="1:96" ht="15">
      <c r="C17" s="678" t="str">
        <f>IF(Hlavní!V39=3,"Dostawa","")</f>
        <v/>
      </c>
      <c r="D17" s="678"/>
      <c r="E17" s="678"/>
      <c r="F17" s="678"/>
      <c r="G17" s="678"/>
      <c r="H17" s="31"/>
      <c r="I17" s="677"/>
      <c r="J17" s="677"/>
      <c r="K17" s="677"/>
      <c r="L17" s="677"/>
      <c r="M17" s="677"/>
      <c r="N17" s="677"/>
      <c r="S17" s="679" t="s">
        <v>383</v>
      </c>
      <c r="T17" s="679"/>
      <c r="U17" s="36"/>
      <c r="V17" s="680">
        <v>20</v>
      </c>
      <c r="W17" s="680"/>
      <c r="Y17" s="679" t="s">
        <v>384</v>
      </c>
      <c r="Z17" s="679"/>
      <c r="AA17" s="36"/>
      <c r="AB17" s="680">
        <v>40</v>
      </c>
      <c r="AC17" s="680"/>
    </row>
    <row r="18" spans="1:96" ht="33.75" customHeight="1">
      <c r="C18" s="685" t="str">
        <f>IF(I17="Dostawa na adres","W przypadku wyboru DOSTAWA NA ADRES do zamówienia zostanie automatycznie doliczona opłata transportowa","")</f>
        <v/>
      </c>
      <c r="D18" s="685"/>
      <c r="E18" s="685"/>
      <c r="F18" s="685"/>
      <c r="G18" s="685"/>
      <c r="H18" s="685"/>
      <c r="I18" s="685"/>
      <c r="J18" s="685"/>
      <c r="K18" s="686" t="str">
        <f>IF(I17="Dostawa na adres","Cennik transportu - kliknij tutaj","")</f>
        <v/>
      </c>
      <c r="L18" s="686"/>
      <c r="M18" s="686"/>
      <c r="N18" s="686"/>
      <c r="BP18" s="453"/>
      <c r="BQ18" s="1"/>
      <c r="BR18" s="1"/>
      <c r="BS18" s="1"/>
      <c r="BT18" s="1"/>
      <c r="BU18" s="1"/>
      <c r="BV18" s="1"/>
    </row>
    <row r="19" spans="1:96" ht="14.85" customHeight="1">
      <c r="C19" s="678" t="str">
        <f>IF(Hlavní!V39=3,"Adres","")</f>
        <v/>
      </c>
      <c r="D19" s="678"/>
      <c r="E19" s="678"/>
      <c r="F19" s="678"/>
      <c r="G19" s="678"/>
      <c r="H19" s="31"/>
      <c r="I19" s="677"/>
      <c r="J19" s="677"/>
      <c r="K19" s="677"/>
      <c r="L19" s="677"/>
      <c r="M19" s="677"/>
      <c r="N19" s="677"/>
      <c r="BP19" s="454"/>
      <c r="BQ19" s="1"/>
      <c r="BR19" s="1"/>
      <c r="BS19" s="1"/>
      <c r="BT19" s="1"/>
      <c r="BU19" s="1"/>
      <c r="BV19" s="1"/>
    </row>
    <row r="20" spans="1:96" s="296" customFormat="1" ht="11.45" customHeight="1">
      <c r="A20" s="31"/>
      <c r="B20" s="31"/>
      <c r="C20" s="1"/>
      <c r="D20" s="1"/>
      <c r="E20" s="1"/>
      <c r="F20" s="1"/>
      <c r="G20" s="1"/>
      <c r="H20" s="1"/>
      <c r="I20" s="677"/>
      <c r="J20" s="677"/>
      <c r="K20" s="677"/>
      <c r="L20" s="677"/>
      <c r="M20" s="677"/>
      <c r="N20" s="677"/>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7"/>
      <c r="AV20" s="295"/>
      <c r="AW20" s="6"/>
      <c r="AX20" s="6"/>
      <c r="AY20" s="6"/>
      <c r="AZ20" s="6"/>
      <c r="BA20" s="6"/>
      <c r="BB20" s="6"/>
      <c r="BC20" s="6"/>
      <c r="BD20" s="6"/>
      <c r="BE20" s="6"/>
      <c r="BF20" s="6"/>
      <c r="BG20" s="6"/>
      <c r="BH20" s="6"/>
      <c r="BI20" s="6"/>
      <c r="BJ20" s="6"/>
      <c r="BK20" s="6"/>
      <c r="BL20" s="6"/>
      <c r="BM20" s="6"/>
      <c r="BN20" s="6"/>
      <c r="BO20" s="6"/>
      <c r="BP20" s="29"/>
      <c r="BQ20" s="304"/>
      <c r="BR20" s="304"/>
      <c r="BS20" s="304"/>
      <c r="BT20" s="304"/>
      <c r="BU20" s="304"/>
      <c r="BV20" s="304"/>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77"/>
      <c r="J21" s="677"/>
      <c r="K21" s="677"/>
      <c r="L21" s="677"/>
      <c r="M21" s="677"/>
      <c r="N21" s="677"/>
      <c r="R21" s="95"/>
      <c r="BP21" s="1"/>
      <c r="BQ21" s="344"/>
      <c r="BR21" s="344"/>
      <c r="BS21" s="344"/>
      <c r="BT21" s="344"/>
      <c r="BU21" s="344"/>
      <c r="BV21" s="344"/>
    </row>
    <row r="22" spans="1:96" ht="14.85" customHeight="1">
      <c r="R22" s="95"/>
      <c r="S22" s="712" t="str">
        <f>'Translate&amp;Prices&amp;Logo'!$B$225</f>
        <v>Dodať vrátane uvedeného kovania</v>
      </c>
      <c r="T22" s="712"/>
      <c r="U22" s="712"/>
      <c r="V22" s="712"/>
      <c r="W22" s="712"/>
      <c r="X22" s="712"/>
      <c r="Y22" s="712"/>
      <c r="Z22" s="712"/>
      <c r="AA22" s="712"/>
      <c r="AB22" s="712"/>
      <c r="AC22" s="706" t="str">
        <f>'Translate&amp;Prices&amp;Logo'!$B$326</f>
        <v>Množstvo (ks)</v>
      </c>
      <c r="AD22" s="706"/>
      <c r="AE22" s="706"/>
      <c r="AF22" s="31"/>
      <c r="AG22" s="706" t="str">
        <f>'Translate&amp;Prices&amp;Logo'!$B$325</f>
        <v>Iná požiadavka (ks)</v>
      </c>
      <c r="AH22" s="706"/>
      <c r="AI22" s="706"/>
      <c r="AJ22" s="706"/>
      <c r="AL22" s="706" t="str">
        <f>'Translate&amp;Prices&amp;Logo'!$B$692</f>
        <v>Cena</v>
      </c>
      <c r="AM22" s="706"/>
      <c r="AN22" s="263"/>
      <c r="AO22" s="263"/>
      <c r="AQ22" s="298" t="s">
        <v>113</v>
      </c>
      <c r="AR22" s="298" t="s">
        <v>114</v>
      </c>
      <c r="AS22" s="298" t="s">
        <v>74</v>
      </c>
      <c r="AT22" s="298" t="s">
        <v>75</v>
      </c>
      <c r="BP22" s="397"/>
      <c r="BQ22" s="298"/>
      <c r="BR22" s="344"/>
      <c r="BS22" s="344"/>
      <c r="BT22" s="1"/>
      <c r="BU22" s="1"/>
      <c r="BV22" s="1"/>
    </row>
    <row r="23" spans="1:96" ht="6" customHeight="1" thickBot="1">
      <c r="R23" s="29">
        <f>IF(AQ13=TRUE,1,0)</f>
        <v>0</v>
      </c>
      <c r="AQ23" s="298"/>
      <c r="AR23" s="298"/>
      <c r="AS23" s="298"/>
      <c r="AT23" s="298"/>
    </row>
    <row r="24" spans="1:96" ht="14.85" customHeight="1">
      <c r="E24" s="687" t="str">
        <f>"1."&amp;" "&amp;'Translate&amp;Prices&amp;Logo'!$B$169</f>
        <v>1. Rámček</v>
      </c>
      <c r="F24" s="688"/>
      <c r="G24" s="689"/>
      <c r="H24" s="29"/>
      <c r="I24" s="687" t="str">
        <f>"2."&amp;" "&amp;'Translate&amp;Prices&amp;Logo'!$B$169</f>
        <v>2. Rámček</v>
      </c>
      <c r="J24" s="688"/>
      <c r="K24" s="689"/>
      <c r="L24" s="29"/>
      <c r="M24" s="687" t="str">
        <f>"3."&amp;" "&amp;'Translate&amp;Prices&amp;Logo'!$B$169</f>
        <v>3. Rámček</v>
      </c>
      <c r="N24" s="688"/>
      <c r="O24" s="689"/>
      <c r="R24" s="95"/>
      <c r="S24" s="690" t="str">
        <f>'Translate&amp;Prices&amp;Logo'!$B$317</f>
        <v>Sada kovania na úzky rámček H27AL (88630)</v>
      </c>
      <c r="T24" s="690"/>
      <c r="U24" s="690"/>
      <c r="V24" s="690"/>
      <c r="W24" s="690"/>
      <c r="X24" s="690"/>
      <c r="Y24" s="690"/>
      <c r="Z24" s="690"/>
      <c r="AA24" s="690"/>
      <c r="AB24" s="36"/>
      <c r="AC24" s="691">
        <f>IFERROR(IF(O44&gt;=1,IF(R23=1,IF(AK25&gt;=1,AG24,O44),0),0),0)</f>
        <v>0</v>
      </c>
      <c r="AD24" s="691"/>
      <c r="AE24" s="691"/>
      <c r="AF24" s="240" t="s">
        <v>1218</v>
      </c>
      <c r="AG24" s="682"/>
      <c r="AH24" s="682"/>
      <c r="AI24" s="682"/>
      <c r="AJ24" s="682"/>
      <c r="AK24" s="36"/>
      <c r="AL24" s="264">
        <f>AC24*AP24*(1-$I$15/100)</f>
        <v>0</v>
      </c>
      <c r="AM24" s="260" t="str">
        <f>VLOOKUP('Translate&amp;Prices&amp;Logo'!$D$1,kombinace_1!$EV$1:$EW$6,2,0)</f>
        <v>€</v>
      </c>
      <c r="AP24" s="299">
        <f>IF('Translate&amp;Prices&amp;Logo'!$D$1=1,AQ24,
IF(OR('Translate&amp;Prices&amp;Logo'!$D$1=2,'Translate&amp;Prices&amp;Logo'!$D$1=5,'Translate&amp;Prices&amp;Logo'!$D$1=6),AR24,
IF('Translate&amp;Prices&amp;Logo'!$D$1=3,AS24,AT24)))</f>
        <v>17.30472</v>
      </c>
      <c r="AQ24" s="300">
        <v>423.69600000000003</v>
      </c>
      <c r="AR24" s="301">
        <v>17.30472</v>
      </c>
      <c r="AS24" s="301">
        <v>78.362129999999993</v>
      </c>
      <c r="AT24" s="301">
        <v>7346.3419400000002</v>
      </c>
      <c r="AU24" s="6">
        <v>88630</v>
      </c>
      <c r="AY24" s="1"/>
      <c r="AZ24" s="1"/>
      <c r="BA24" s="1"/>
      <c r="BB24" s="1"/>
      <c r="BC24" s="1"/>
      <c r="BD24" s="1"/>
      <c r="BE24" s="12"/>
      <c r="BF24" s="12"/>
      <c r="BG24" s="1"/>
      <c r="BH24" s="1"/>
      <c r="BI24" s="1"/>
      <c r="BJ24" s="1"/>
      <c r="BK24" s="1"/>
      <c r="BL24" s="1"/>
      <c r="BN24" s="401"/>
      <c r="BO24" s="1"/>
    </row>
    <row r="25" spans="1:96" ht="14.85" customHeight="1">
      <c r="E25" s="238"/>
      <c r="F25" s="29"/>
      <c r="G25" s="239"/>
      <c r="H25" s="29"/>
      <c r="I25" s="238"/>
      <c r="J25" s="29"/>
      <c r="K25" s="239"/>
      <c r="L25" s="29"/>
      <c r="M25" s="238"/>
      <c r="N25" s="29"/>
      <c r="O25" s="239"/>
      <c r="R25" s="95"/>
      <c r="S25" s="55"/>
      <c r="T25" s="55"/>
      <c r="U25" s="55"/>
      <c r="V25" s="55"/>
      <c r="W25" s="55"/>
      <c r="X25" s="55"/>
      <c r="Y25" s="55"/>
      <c r="Z25" s="55"/>
      <c r="AA25" s="55"/>
      <c r="AC25" s="29"/>
      <c r="AD25" s="29"/>
      <c r="AE25" s="29"/>
      <c r="AF25" s="29"/>
      <c r="AG25" s="29"/>
      <c r="AH25" s="29"/>
      <c r="AI25" s="29"/>
      <c r="AJ25" s="29"/>
      <c r="AK25" s="30">
        <f>AG24</f>
        <v>0</v>
      </c>
      <c r="AP25" s="302"/>
      <c r="AQ25" s="298"/>
      <c r="AR25" s="298"/>
      <c r="AS25" s="298"/>
      <c r="AT25" s="298"/>
      <c r="AU25" s="6"/>
      <c r="BE25" s="12"/>
      <c r="BG25" s="1"/>
      <c r="BH25" s="1"/>
      <c r="BI25" s="1"/>
      <c r="BJ25" s="1"/>
      <c r="BK25" s="1"/>
      <c r="BL25" s="1"/>
      <c r="BM25" s="1"/>
      <c r="BN25" s="401"/>
      <c r="BO25" s="1"/>
      <c r="BY25" s="12"/>
      <c r="BZ25" s="12"/>
      <c r="CA25" s="12"/>
    </row>
    <row r="26" spans="1:96" ht="14.85" customHeight="1">
      <c r="B26" s="694" t="str">
        <f>'Translate&amp;Prices&amp;Logo'!$B$176</f>
        <v>Výška</v>
      </c>
      <c r="C26" s="694"/>
      <c r="D26" s="293"/>
      <c r="E26" s="697"/>
      <c r="F26" s="682"/>
      <c r="G26" s="698"/>
      <c r="H26" s="291"/>
      <c r="I26" s="697"/>
      <c r="J26" s="682"/>
      <c r="K26" s="698"/>
      <c r="L26" s="291"/>
      <c r="M26" s="697"/>
      <c r="N26" s="682"/>
      <c r="O26" s="698"/>
      <c r="R26" s="95"/>
      <c r="S26" s="690" t="str">
        <f>'Translate&amp;Prices&amp;Logo'!$B$318</f>
        <v>Sada kovania na široký rámček H37AL (88631)</v>
      </c>
      <c r="T26" s="690"/>
      <c r="U26" s="690"/>
      <c r="V26" s="690"/>
      <c r="W26" s="690"/>
      <c r="X26" s="690"/>
      <c r="Y26" s="690"/>
      <c r="Z26" s="690"/>
      <c r="AA26" s="690"/>
      <c r="AB26" s="36"/>
      <c r="AC26" s="691">
        <f>IFERROR(IF(O43&gt;=1,IF(R23=1,IF(AK27&gt;=1,AG26,O43),0),0),0)</f>
        <v>0</v>
      </c>
      <c r="AD26" s="691"/>
      <c r="AE26" s="691"/>
      <c r="AF26" s="240" t="s">
        <v>1218</v>
      </c>
      <c r="AG26" s="682"/>
      <c r="AH26" s="682"/>
      <c r="AI26" s="682"/>
      <c r="AJ26" s="682"/>
      <c r="AK26" s="36"/>
      <c r="AL26" s="264">
        <f>AC26*AP26*(1-$I$15/100)</f>
        <v>0</v>
      </c>
      <c r="AM26" s="260" t="str">
        <f>VLOOKUP('Translate&amp;Prices&amp;Logo'!$D$1,kombinace_1!$EV$1:$EW$6,2,0)</f>
        <v>€</v>
      </c>
      <c r="AP26" s="299">
        <f>IF('Translate&amp;Prices&amp;Logo'!$D$1=1,AQ26,
IF(OR('Translate&amp;Prices&amp;Logo'!$D$1=2,'Translate&amp;Prices&amp;Logo'!$D$1=5,'Translate&amp;Prices&amp;Logo'!$D$1=6),AR26,
IF('Translate&amp;Prices&amp;Logo'!$D$1=3,AS26,AT26)))</f>
        <v>18.137250000000002</v>
      </c>
      <c r="AQ26" s="300">
        <v>444.08</v>
      </c>
      <c r="AR26" s="301">
        <v>18.137250000000002</v>
      </c>
      <c r="AS26" s="301">
        <v>82.132149999999996</v>
      </c>
      <c r="AT26" s="301">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32"/>
    </row>
    <row r="27" spans="1:96" ht="14.85" customHeight="1">
      <c r="B27" s="14"/>
      <c r="C27" s="14"/>
      <c r="D27" s="292"/>
      <c r="E27" s="238">
        <v>900</v>
      </c>
      <c r="F27" s="29"/>
      <c r="G27" s="239"/>
      <c r="H27" s="29"/>
      <c r="I27" s="238"/>
      <c r="J27" s="29"/>
      <c r="K27" s="239"/>
      <c r="L27" s="29"/>
      <c r="M27" s="238"/>
      <c r="N27" s="29"/>
      <c r="O27" s="239"/>
      <c r="S27" s="55"/>
      <c r="T27" s="55"/>
      <c r="U27" s="55"/>
      <c r="V27" s="55"/>
      <c r="W27" s="55"/>
      <c r="X27" s="55"/>
      <c r="Y27" s="55"/>
      <c r="Z27" s="55"/>
      <c r="AA27" s="55"/>
      <c r="AC27" s="29"/>
      <c r="AD27" s="29"/>
      <c r="AE27" s="29"/>
      <c r="AF27" s="29"/>
      <c r="AG27" s="29"/>
      <c r="AH27" s="29"/>
      <c r="AI27" s="29"/>
      <c r="AJ27" s="29"/>
      <c r="AK27" s="30">
        <f>AG26</f>
        <v>0</v>
      </c>
      <c r="AP27" s="302"/>
      <c r="AU27" s="6"/>
      <c r="AZ27" s="1"/>
      <c r="BA27" s="1"/>
      <c r="BB27" s="1"/>
      <c r="BC27" s="1"/>
      <c r="BD27" s="1"/>
      <c r="BE27" s="12"/>
      <c r="BG27" s="1"/>
      <c r="BI27" s="1"/>
      <c r="BJ27" s="1"/>
      <c r="BK27" s="1"/>
      <c r="BL27" s="1"/>
      <c r="BM27" s="1"/>
      <c r="BN27" s="1"/>
      <c r="BO27" s="1"/>
      <c r="BP27" s="1"/>
      <c r="BQ27" s="1"/>
      <c r="BR27" s="1"/>
      <c r="BS27" s="1"/>
      <c r="BT27" s="1"/>
      <c r="BU27" s="1"/>
      <c r="BV27" s="1"/>
      <c r="BY27" s="12"/>
      <c r="BZ27" s="12"/>
      <c r="CA27" s="432"/>
    </row>
    <row r="28" spans="1:96" ht="14.85" customHeight="1">
      <c r="B28" s="694" t="str">
        <f>'Translate&amp;Prices&amp;Logo'!$B$175</f>
        <v>Šírka</v>
      </c>
      <c r="C28" s="694"/>
      <c r="D28" s="293"/>
      <c r="E28" s="697"/>
      <c r="F28" s="682"/>
      <c r="G28" s="698"/>
      <c r="H28" s="291"/>
      <c r="I28" s="697"/>
      <c r="J28" s="682"/>
      <c r="K28" s="698"/>
      <c r="L28" s="291"/>
      <c r="M28" s="697"/>
      <c r="N28" s="682"/>
      <c r="O28" s="698"/>
      <c r="S28" s="690" t="str">
        <f>'Translate&amp;Prices&amp;Logo'!$B$321</f>
        <v>Horné vedenie dĺžka 2 m (87313)</v>
      </c>
      <c r="T28" s="690"/>
      <c r="U28" s="690"/>
      <c r="V28" s="690"/>
      <c r="W28" s="690"/>
      <c r="X28" s="690"/>
      <c r="Y28" s="690"/>
      <c r="Z28" s="690"/>
      <c r="AA28" s="690"/>
      <c r="AB28" s="36"/>
      <c r="AC28" s="691">
        <f>IF(AG28&gt;0,AG28,AK29)</f>
        <v>0</v>
      </c>
      <c r="AD28" s="691"/>
      <c r="AE28" s="691"/>
      <c r="AF28" s="240" t="s">
        <v>1218</v>
      </c>
      <c r="AG28" s="682"/>
      <c r="AH28" s="682"/>
      <c r="AI28" s="682"/>
      <c r="AJ28" s="682"/>
      <c r="AK28" s="36"/>
      <c r="AL28" s="264">
        <f>AC28*AP28*(1-$I$15/100)</f>
        <v>0</v>
      </c>
      <c r="AM28" s="260" t="str">
        <f>VLOOKUP('Translate&amp;Prices&amp;Logo'!$D$1,kombinace_1!$EV$1:$EW$6,2,0)</f>
        <v>€</v>
      </c>
      <c r="AP28" s="299">
        <f>IF('Translate&amp;Prices&amp;Logo'!$D$1=1,AQ28,
IF(OR('Translate&amp;Prices&amp;Logo'!$D$1=2,'Translate&amp;Prices&amp;Logo'!$D$1=5,'Translate&amp;Prices&amp;Logo'!$D$1=6),AR28,
IF('Translate&amp;Prices&amp;Logo'!$D$1=3,AS28,AT28)))</f>
        <v>17.28059</v>
      </c>
      <c r="AQ28" s="300">
        <v>279.55200000000002</v>
      </c>
      <c r="AR28" s="301">
        <v>17.28059</v>
      </c>
      <c r="AS28" s="301">
        <v>92.683340000000001</v>
      </c>
      <c r="AT28" s="301">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32"/>
    </row>
    <row r="29" spans="1:96" ht="14.85" customHeight="1">
      <c r="B29" s="14"/>
      <c r="C29" s="14"/>
      <c r="D29" s="292"/>
      <c r="E29" s="238"/>
      <c r="F29" s="29"/>
      <c r="G29" s="239"/>
      <c r="H29" s="29"/>
      <c r="I29" s="238"/>
      <c r="J29" s="29"/>
      <c r="K29" s="239"/>
      <c r="L29" s="29"/>
      <c r="M29" s="238"/>
      <c r="N29" s="29"/>
      <c r="O29" s="239"/>
      <c r="S29" s="55"/>
      <c r="T29" s="55"/>
      <c r="U29" s="55"/>
      <c r="V29" s="55"/>
      <c r="W29" s="55"/>
      <c r="X29" s="55"/>
      <c r="Y29" s="55"/>
      <c r="Z29" s="55"/>
      <c r="AA29" s="55"/>
      <c r="AC29" s="29"/>
      <c r="AD29" s="29"/>
      <c r="AE29" s="29"/>
      <c r="AF29" s="29"/>
      <c r="AG29" s="29"/>
      <c r="AH29" s="29"/>
      <c r="AI29" s="29"/>
      <c r="AJ29" s="29"/>
      <c r="AK29" s="30">
        <f>SUM(AC45,AE45)</f>
        <v>0</v>
      </c>
      <c r="AP29" s="302"/>
      <c r="AQ29" s="300"/>
      <c r="AR29" s="301"/>
      <c r="AS29" s="301"/>
      <c r="AT29" s="301"/>
      <c r="AU29" s="6"/>
      <c r="AZ29" s="1"/>
      <c r="BA29" s="1"/>
      <c r="BB29" s="401"/>
      <c r="BC29" s="1"/>
      <c r="BD29" s="1"/>
      <c r="BE29" s="12"/>
      <c r="BF29" s="12"/>
      <c r="BG29" s="1"/>
      <c r="BH29" s="1"/>
      <c r="BI29" s="1"/>
      <c r="BJ29" s="1"/>
      <c r="BK29" s="1"/>
      <c r="BL29" s="1"/>
      <c r="BN29" s="1"/>
      <c r="BO29" s="1"/>
      <c r="BP29" s="1"/>
      <c r="BQ29" s="1"/>
      <c r="BR29" s="1"/>
      <c r="BS29" s="1"/>
      <c r="BU29" s="1"/>
    </row>
    <row r="30" spans="1:96" ht="15">
      <c r="B30" s="694" t="str">
        <f>'Translate&amp;Prices&amp;Logo'!$B$174</f>
        <v>Počet kusov</v>
      </c>
      <c r="C30" s="694"/>
      <c r="D30" s="293"/>
      <c r="E30" s="697"/>
      <c r="F30" s="682"/>
      <c r="G30" s="698"/>
      <c r="H30" s="291"/>
      <c r="I30" s="697"/>
      <c r="J30" s="682"/>
      <c r="K30" s="698"/>
      <c r="L30" s="291"/>
      <c r="M30" s="697"/>
      <c r="N30" s="682"/>
      <c r="O30" s="698"/>
      <c r="S30" s="690" t="str">
        <f>'Translate&amp;Prices&amp;Logo'!$B$322</f>
        <v>Spodné vedenie dĺžka 2 m (87315)</v>
      </c>
      <c r="T30" s="690"/>
      <c r="U30" s="690"/>
      <c r="V30" s="690"/>
      <c r="W30" s="690"/>
      <c r="X30" s="690"/>
      <c r="Y30" s="690"/>
      <c r="Z30" s="690"/>
      <c r="AA30" s="690"/>
      <c r="AB30" s="36"/>
      <c r="AC30" s="691">
        <f>IF(AG30&gt;0,AG30,AK31)</f>
        <v>0</v>
      </c>
      <c r="AD30" s="691"/>
      <c r="AE30" s="691"/>
      <c r="AF30" s="240" t="s">
        <v>1218</v>
      </c>
      <c r="AG30" s="682"/>
      <c r="AH30" s="682"/>
      <c r="AI30" s="682"/>
      <c r="AJ30" s="682"/>
      <c r="AK30" s="36"/>
      <c r="AL30" s="264">
        <f>AC30*AP30*(1-$I$15/100)</f>
        <v>0</v>
      </c>
      <c r="AM30" s="260" t="str">
        <f>VLOOKUP('Translate&amp;Prices&amp;Logo'!$D$1,kombinace_1!$EV$1:$EW$6,2,0)</f>
        <v>€</v>
      </c>
      <c r="AP30" s="299">
        <f>IF('Translate&amp;Prices&amp;Logo'!$D$1=1,AQ30,
IF(OR('Translate&amp;Prices&amp;Logo'!$D$1=2,'Translate&amp;Prices&amp;Logo'!$D$1=5,'Translate&amp;Prices&amp;Logo'!$D$1=6),AR30,
IF('Translate&amp;Prices&amp;Logo'!$D$1=3,AS30,AT30)))</f>
        <v>5.4532600000000002</v>
      </c>
      <c r="AQ30" s="300">
        <v>142.92941999999999</v>
      </c>
      <c r="AR30" s="301">
        <v>5.4532600000000002</v>
      </c>
      <c r="AS30" s="301">
        <v>27.304449999999999</v>
      </c>
      <c r="AT30" s="301">
        <v>2631.0918900000001</v>
      </c>
      <c r="AU30" s="6">
        <v>87315</v>
      </c>
      <c r="AZ30" s="1"/>
      <c r="BA30" s="1"/>
      <c r="BB30" s="401"/>
      <c r="BC30" s="1"/>
      <c r="BD30" s="1"/>
      <c r="BE30" s="12"/>
      <c r="BF30" s="12"/>
      <c r="BG30" s="1"/>
      <c r="BH30" s="1"/>
      <c r="BI30" s="1"/>
      <c r="BJ30" s="1"/>
      <c r="BK30" s="1"/>
      <c r="BL30" s="1"/>
      <c r="BM30" s="1"/>
      <c r="BN30" s="1"/>
      <c r="BO30" s="1"/>
      <c r="BP30" s="1"/>
      <c r="BQ30" s="1"/>
      <c r="BR30" s="1"/>
      <c r="BS30" s="1"/>
      <c r="BT30" s="426"/>
      <c r="BU30" s="426"/>
      <c r="BV30" s="426"/>
    </row>
    <row r="31" spans="1:96" ht="14.85" customHeight="1">
      <c r="B31" s="14"/>
      <c r="C31" s="14"/>
      <c r="D31" s="292"/>
      <c r="E31" s="238"/>
      <c r="F31" s="29"/>
      <c r="G31" s="239"/>
      <c r="H31" s="29"/>
      <c r="I31" s="238"/>
      <c r="J31" s="29"/>
      <c r="K31" s="239"/>
      <c r="L31" s="29"/>
      <c r="M31" s="238"/>
      <c r="N31" s="29"/>
      <c r="O31" s="239"/>
      <c r="S31" s="55"/>
      <c r="T31" s="55"/>
      <c r="U31" s="55"/>
      <c r="V31" s="55"/>
      <c r="W31" s="55"/>
      <c r="X31" s="55"/>
      <c r="Y31" s="55"/>
      <c r="Z31" s="55"/>
      <c r="AA31" s="55"/>
      <c r="AC31" s="29"/>
      <c r="AD31" s="29">
        <v>0</v>
      </c>
      <c r="AE31" s="29"/>
      <c r="AF31" s="29"/>
      <c r="AG31" s="29"/>
      <c r="AH31" s="29"/>
      <c r="AI31" s="29"/>
      <c r="AJ31" s="29"/>
      <c r="AK31" s="30">
        <f>SUM(AC45,AE45)</f>
        <v>0</v>
      </c>
      <c r="AP31" s="302"/>
      <c r="AU31" s="6"/>
      <c r="AY31" s="1"/>
      <c r="AZ31" s="1"/>
      <c r="BA31" s="1"/>
      <c r="BB31" s="1"/>
      <c r="BC31" s="1"/>
      <c r="BD31" s="1"/>
      <c r="BE31" s="12"/>
      <c r="BF31" s="12"/>
      <c r="BG31" s="1"/>
      <c r="BH31" s="1"/>
      <c r="BI31" s="1"/>
      <c r="BJ31" s="1"/>
      <c r="BK31" s="1"/>
      <c r="BL31" s="1"/>
      <c r="BM31" s="1"/>
      <c r="BN31" s="1"/>
      <c r="BO31" s="458"/>
      <c r="BP31" s="1"/>
      <c r="BQ31" s="1"/>
      <c r="BR31" s="1"/>
      <c r="BS31" s="1"/>
      <c r="BT31" s="1"/>
    </row>
    <row r="32" spans="1:96" ht="14.85" customHeight="1">
      <c r="B32" s="694" t="str">
        <f>'Translate&amp;Prices&amp;Logo'!$B$177</f>
        <v>Poznámky</v>
      </c>
      <c r="C32" s="694"/>
      <c r="D32" s="293"/>
      <c r="E32" s="695"/>
      <c r="F32" s="511"/>
      <c r="G32" s="696"/>
      <c r="H32" s="291"/>
      <c r="I32" s="695"/>
      <c r="J32" s="511"/>
      <c r="K32" s="696"/>
      <c r="L32" s="291"/>
      <c r="M32" s="695"/>
      <c r="N32" s="511"/>
      <c r="O32" s="696"/>
      <c r="S32" s="690" t="str">
        <f>'Translate&amp;Prices&amp;Logo'!$B$323</f>
        <v>Horné vedenie dĺžka 3 m (87312)</v>
      </c>
      <c r="T32" s="690"/>
      <c r="U32" s="690"/>
      <c r="V32" s="690"/>
      <c r="W32" s="690"/>
      <c r="X32" s="690"/>
      <c r="Y32" s="690"/>
      <c r="Z32" s="690"/>
      <c r="AA32" s="690"/>
      <c r="AB32" s="36"/>
      <c r="AC32" s="691">
        <f>IF(AG32&gt;0,AG32,AK33)</f>
        <v>0</v>
      </c>
      <c r="AD32" s="691"/>
      <c r="AE32" s="691"/>
      <c r="AF32" s="240" t="s">
        <v>1218</v>
      </c>
      <c r="AG32" s="682"/>
      <c r="AH32" s="682"/>
      <c r="AI32" s="682"/>
      <c r="AJ32" s="682"/>
      <c r="AK32" s="36"/>
      <c r="AL32" s="264">
        <f>AC32*AP32*(1-$I$15/100)</f>
        <v>0</v>
      </c>
      <c r="AM32" s="260" t="str">
        <f>VLOOKUP('Translate&amp;Prices&amp;Logo'!$D$1,kombinace_1!$EV$1:$EW$6,2,0)</f>
        <v>€</v>
      </c>
      <c r="AP32" s="299">
        <f>IF('Translate&amp;Prices&amp;Logo'!$D$1=1,AQ32,
IF(OR('Translate&amp;Prices&amp;Logo'!$D$1=2,'Translate&amp;Prices&amp;Logo'!$D$1=5,'Translate&amp;Prices&amp;Logo'!$D$1=6),AR32,
IF('Translate&amp;Prices&amp;Logo'!$D$1=3,AS32,AT32)))</f>
        <v>25.920940000000002</v>
      </c>
      <c r="AQ32" s="300">
        <v>419.32799999999997</v>
      </c>
      <c r="AR32" s="301">
        <v>25.920940000000002</v>
      </c>
      <c r="AS32" s="301">
        <v>139.24695</v>
      </c>
      <c r="AT32" s="301">
        <v>5072.51613</v>
      </c>
      <c r="AU32" s="6">
        <v>87312</v>
      </c>
      <c r="AY32" s="1"/>
      <c r="AZ32" s="1"/>
      <c r="BA32" s="1"/>
      <c r="BB32" s="1"/>
      <c r="BC32" s="1"/>
      <c r="BD32" s="1"/>
      <c r="BE32" s="12"/>
      <c r="BF32" s="12"/>
      <c r="BG32" s="1"/>
      <c r="BH32" s="1"/>
      <c r="BI32" s="1"/>
      <c r="BJ32" s="1"/>
      <c r="BK32" s="1"/>
      <c r="BL32" s="1"/>
      <c r="BM32" s="1"/>
      <c r="BN32" s="1"/>
      <c r="BO32" s="458"/>
      <c r="BP32" s="1"/>
      <c r="BQ32" s="1"/>
      <c r="BR32" s="1"/>
      <c r="BS32" s="1"/>
      <c r="BT32" s="1"/>
    </row>
    <row r="33" spans="2:74" ht="14.85" customHeight="1">
      <c r="B33" s="14"/>
      <c r="C33" s="14"/>
      <c r="D33" s="292"/>
      <c r="E33" s="697"/>
      <c r="F33" s="682"/>
      <c r="G33" s="698"/>
      <c r="H33" s="29"/>
      <c r="I33" s="697"/>
      <c r="J33" s="682"/>
      <c r="K33" s="698"/>
      <c r="L33" s="29"/>
      <c r="M33" s="697"/>
      <c r="N33" s="682"/>
      <c r="O33" s="698"/>
      <c r="S33" s="55"/>
      <c r="T33" s="55"/>
      <c r="U33" s="55"/>
      <c r="V33" s="55"/>
      <c r="W33" s="55"/>
      <c r="X33" s="55"/>
      <c r="Y33" s="55"/>
      <c r="Z33" s="55"/>
      <c r="AA33" s="55"/>
      <c r="AC33" s="29"/>
      <c r="AD33" s="29"/>
      <c r="AE33" s="29"/>
      <c r="AF33" s="29"/>
      <c r="AG33" s="29"/>
      <c r="AH33" s="29"/>
      <c r="AI33" s="29"/>
      <c r="AJ33" s="29"/>
      <c r="AK33" s="30">
        <f>SUM(AD45,AF45)</f>
        <v>0</v>
      </c>
      <c r="AQ33" s="298"/>
      <c r="AR33" s="298"/>
      <c r="AS33" s="298"/>
      <c r="AT33" s="298"/>
      <c r="AU33" s="6"/>
      <c r="AY33" s="1"/>
      <c r="AZ33" s="1"/>
      <c r="BA33" s="1"/>
      <c r="BC33" s="1"/>
      <c r="BD33" s="1"/>
      <c r="BE33" s="12"/>
      <c r="BF33" s="1"/>
      <c r="BG33" s="1"/>
      <c r="BH33" s="1"/>
      <c r="BI33" s="1"/>
      <c r="BJ33" s="1"/>
      <c r="BK33" s="1"/>
      <c r="BL33" s="1"/>
      <c r="BM33" s="1"/>
      <c r="BN33" s="1"/>
      <c r="BO33" s="458"/>
      <c r="BP33" s="1"/>
      <c r="BQ33" s="1"/>
      <c r="BR33" s="1"/>
      <c r="BS33" s="1"/>
      <c r="BT33" s="1"/>
    </row>
    <row r="34" spans="2:74" ht="14.85" customHeight="1">
      <c r="B34" s="14"/>
      <c r="C34" s="14"/>
      <c r="D34" s="292"/>
      <c r="E34" s="238"/>
      <c r="F34" s="29"/>
      <c r="G34" s="239"/>
      <c r="H34" s="29"/>
      <c r="I34" s="238"/>
      <c r="J34" s="29"/>
      <c r="K34" s="239"/>
      <c r="L34" s="29"/>
      <c r="M34" s="238"/>
      <c r="N34" s="29"/>
      <c r="O34" s="239"/>
      <c r="S34" s="690" t="str">
        <f>'Translate&amp;Prices&amp;Logo'!$B$324</f>
        <v>Spodné vedeniedĺžka 3 m (87314)</v>
      </c>
      <c r="T34" s="690"/>
      <c r="U34" s="690"/>
      <c r="V34" s="690"/>
      <c r="W34" s="690"/>
      <c r="X34" s="690"/>
      <c r="Y34" s="690"/>
      <c r="Z34" s="690"/>
      <c r="AA34" s="690"/>
      <c r="AB34" s="36"/>
      <c r="AC34" s="691">
        <f>IF(AG34&gt;0,AG34,AK35)</f>
        <v>0</v>
      </c>
      <c r="AD34" s="691"/>
      <c r="AE34" s="691"/>
      <c r="AF34" s="240" t="s">
        <v>1218</v>
      </c>
      <c r="AG34" s="682"/>
      <c r="AH34" s="682"/>
      <c r="AI34" s="682"/>
      <c r="AJ34" s="682"/>
      <c r="AK34" s="36"/>
      <c r="AL34" s="264">
        <f>AC34*AP34*(1-$I$15/100)</f>
        <v>0</v>
      </c>
      <c r="AM34" s="260" t="str">
        <f>VLOOKUP('Translate&amp;Prices&amp;Logo'!$D$1,kombinace_1!$EV$1:$EW$6,2,0)</f>
        <v>€</v>
      </c>
      <c r="AP34" s="299">
        <f>IF('Translate&amp;Prices&amp;Logo'!$D$1=1,AQ34,
IF(OR('Translate&amp;Prices&amp;Logo'!$D$1=2,'Translate&amp;Prices&amp;Logo'!$D$1=5,'Translate&amp;Prices&amp;Logo'!$D$1=6),AR34,
IF('Translate&amp;Prices&amp;Logo'!$D$1=3,AS34,AT34)))</f>
        <v>8.1798099999999998</v>
      </c>
      <c r="AQ34" s="300">
        <v>214.39205000000001</v>
      </c>
      <c r="AR34" s="301">
        <v>8.1798099999999998</v>
      </c>
      <c r="AS34" s="301">
        <v>40.95628</v>
      </c>
      <c r="AT34" s="301">
        <v>3946.5994300000002</v>
      </c>
      <c r="AU34" s="6">
        <v>87314</v>
      </c>
      <c r="AY34" s="1"/>
      <c r="AZ34" s="1"/>
      <c r="BA34" s="1"/>
      <c r="BB34" s="1"/>
      <c r="BC34" s="1"/>
      <c r="BD34" s="1"/>
      <c r="BE34" s="12"/>
      <c r="BF34" s="12"/>
      <c r="BG34" s="1"/>
      <c r="BH34" s="1"/>
      <c r="BI34" s="1"/>
      <c r="BJ34" s="1"/>
      <c r="BK34" s="1"/>
      <c r="BL34" s="1"/>
      <c r="BM34" s="1"/>
      <c r="BN34" s="1"/>
      <c r="BO34" s="458"/>
      <c r="BP34" s="1"/>
      <c r="BT34" s="1"/>
    </row>
    <row r="35" spans="2:74" ht="14.85" customHeight="1">
      <c r="B35" s="694" t="str">
        <f>'Translate&amp;Prices&amp;Logo'!$B$172</f>
        <v>Typ profilu</v>
      </c>
      <c r="C35" s="694"/>
      <c r="D35" s="293"/>
      <c r="E35" s="700"/>
      <c r="F35" s="701"/>
      <c r="G35" s="702"/>
      <c r="H35" s="291"/>
      <c r="I35" s="700"/>
      <c r="J35" s="701"/>
      <c r="K35" s="702"/>
      <c r="L35" s="291"/>
      <c r="M35" s="700"/>
      <c r="N35" s="701"/>
      <c r="O35" s="702"/>
      <c r="AD35" s="1"/>
      <c r="AE35" s="1"/>
      <c r="AK35" s="30">
        <f>SUM(AD45,AF45)</f>
        <v>0</v>
      </c>
      <c r="AQ35" s="298"/>
      <c r="AR35" s="298"/>
      <c r="AS35" s="298"/>
      <c r="AT35" s="298"/>
      <c r="AY35" s="1"/>
      <c r="AZ35" s="1"/>
      <c r="BA35" s="1"/>
      <c r="BB35" s="1"/>
      <c r="BC35" s="1"/>
      <c r="BD35" s="1"/>
      <c r="BE35" s="12"/>
      <c r="BF35" s="12"/>
      <c r="BG35" s="1"/>
      <c r="BH35" s="1"/>
      <c r="BI35" s="1"/>
      <c r="BJ35" s="1"/>
      <c r="BK35" s="1"/>
      <c r="BL35" s="1"/>
      <c r="BM35" s="1"/>
      <c r="BN35" s="1"/>
      <c r="BO35" s="458"/>
      <c r="BP35" s="1"/>
      <c r="BQ35" s="1"/>
      <c r="BR35" s="1"/>
      <c r="BS35" s="1"/>
      <c r="BT35" s="1"/>
    </row>
    <row r="36" spans="2:74" ht="28.9" customHeight="1">
      <c r="B36" s="14"/>
      <c r="C36" s="14"/>
      <c r="D36" s="292"/>
      <c r="E36" s="700"/>
      <c r="F36" s="701"/>
      <c r="G36" s="702"/>
      <c r="H36" s="29"/>
      <c r="I36" s="700"/>
      <c r="J36" s="701"/>
      <c r="K36" s="702"/>
      <c r="L36" s="29"/>
      <c r="M36" s="700"/>
      <c r="N36" s="701"/>
      <c r="O36" s="702"/>
      <c r="AD36" s="1"/>
      <c r="AE36" s="1"/>
      <c r="AK36" s="30"/>
      <c r="AY36" s="1"/>
      <c r="AZ36" s="1"/>
      <c r="BA36" s="1"/>
      <c r="BB36" s="1"/>
      <c r="BC36" s="1"/>
      <c r="BD36" s="1"/>
      <c r="BE36" s="12"/>
      <c r="BF36" s="12"/>
      <c r="BG36" s="1"/>
      <c r="BH36" s="1"/>
      <c r="BI36" s="1"/>
      <c r="BJ36" s="1"/>
      <c r="BK36" s="1"/>
      <c r="BL36" s="1"/>
      <c r="BM36" s="1"/>
      <c r="BN36" s="1"/>
      <c r="BO36" s="458"/>
      <c r="BP36" s="1"/>
      <c r="BQ36" s="1"/>
      <c r="BR36" s="1"/>
      <c r="BS36" s="1"/>
      <c r="BT36" s="1"/>
    </row>
    <row r="37" spans="2:74" ht="14.85" customHeight="1">
      <c r="B37" s="14"/>
      <c r="C37" s="14"/>
      <c r="D37" s="292"/>
      <c r="E37" s="700"/>
      <c r="F37" s="701"/>
      <c r="G37" s="702"/>
      <c r="H37" s="29"/>
      <c r="I37" s="700"/>
      <c r="J37" s="701"/>
      <c r="K37" s="702"/>
      <c r="L37" s="29"/>
      <c r="M37" s="700"/>
      <c r="N37" s="701"/>
      <c r="O37" s="702"/>
      <c r="S37" s="683" t="str">
        <f>IF(AND(Hlavní!V39=3,I17="Dostawa na adres"),"Koszt transportu","")</f>
        <v/>
      </c>
      <c r="T37" s="683"/>
      <c r="U37" s="683"/>
      <c r="V37" s="30"/>
      <c r="W37" s="684" t="b">
        <f>IF(AND(Hlavní!V39=3,I17="Dostawa na adres"),IF('Doprava Posun'!AH29=1,'Doprava Posun'!Z62,IF('Doprava Posun'!AH29=2,'Doprava Posun'!W89,'kalkulace dopravy'!X2)))</f>
        <v>0</v>
      </c>
      <c r="X37" s="684"/>
      <c r="Y37" s="684"/>
      <c r="Z37" s="684"/>
      <c r="AA37" s="304" t="str">
        <f>VLOOKUP('Translate&amp;Prices&amp;Logo'!$D$1,kombinace_1!$EV$1:$EW$5,2,0)</f>
        <v>€</v>
      </c>
      <c r="AC37" s="261" t="str">
        <f>'Translate&amp;Prices&amp;Logo'!$B$693</f>
        <v>Cena kovania</v>
      </c>
      <c r="AD37" s="261"/>
      <c r="AE37" s="261"/>
      <c r="AF37" s="261"/>
      <c r="AG37" s="261"/>
      <c r="AH37" s="261"/>
      <c r="AI37" s="261"/>
      <c r="AJ37" s="261"/>
      <c r="AK37" s="36"/>
      <c r="AL37" s="264">
        <f>SUM(AL24,AL26,AL28,AL30,AL32,AL34)</f>
        <v>0</v>
      </c>
      <c r="AM37" s="260" t="str">
        <f>VLOOKUP('Translate&amp;Prices&amp;Logo'!$D$1,kombinace_1!$EV$1:$EW$6,2,0)</f>
        <v>€</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8"/>
      <c r="BP37" s="1"/>
      <c r="BQ37" s="426"/>
      <c r="BR37" s="426"/>
      <c r="BS37" s="426"/>
      <c r="BT37" s="1"/>
    </row>
    <row r="38" spans="2:74" ht="14.85" customHeight="1">
      <c r="B38" s="14"/>
      <c r="C38" s="14"/>
      <c r="D38" s="292"/>
      <c r="E38" s="238"/>
      <c r="F38" s="29"/>
      <c r="G38" s="239"/>
      <c r="H38" s="29"/>
      <c r="I38" s="238"/>
      <c r="J38" s="29"/>
      <c r="K38" s="239"/>
      <c r="L38" s="29"/>
      <c r="M38" s="238"/>
      <c r="N38" s="29"/>
      <c r="O38" s="239"/>
      <c r="AD38" s="1"/>
      <c r="AY38" s="1"/>
      <c r="AZ38" s="1"/>
      <c r="BA38" s="1"/>
      <c r="BB38" s="1"/>
      <c r="BC38" s="1"/>
      <c r="BD38" s="1"/>
      <c r="BE38" s="12"/>
      <c r="BF38" s="12"/>
      <c r="BG38" s="1"/>
      <c r="BH38" s="1"/>
      <c r="BI38" s="1"/>
      <c r="BJ38" s="1"/>
      <c r="BK38" s="1"/>
      <c r="BL38" s="1"/>
      <c r="BM38" s="1"/>
      <c r="BN38" s="1"/>
      <c r="BO38" s="459"/>
      <c r="BP38" s="1"/>
      <c r="BQ38" s="1"/>
      <c r="BR38" s="1"/>
      <c r="BS38" s="1"/>
      <c r="BT38" s="1"/>
    </row>
    <row r="39" spans="2:74" ht="14.85" customHeight="1">
      <c r="B39" s="694" t="str">
        <f>'Translate&amp;Prices&amp;Logo'!$B$625</f>
        <v>Typ skla/sieťky</v>
      </c>
      <c r="C39" s="694"/>
      <c r="D39" s="293"/>
      <c r="E39" s="700"/>
      <c r="F39" s="701"/>
      <c r="G39" s="702"/>
      <c r="H39" s="291"/>
      <c r="I39" s="700"/>
      <c r="J39" s="701"/>
      <c r="K39" s="702"/>
      <c r="L39" s="291"/>
      <c r="M39" s="700"/>
      <c r="N39" s="701"/>
      <c r="O39" s="702"/>
      <c r="S39" s="699">
        <f>IF(ISTEXT(W37)=TRUE,VLOOKUP(W37,'kalkulace dopravy'!X2:Y4,2,0),0)</f>
        <v>0</v>
      </c>
      <c r="T39" s="699"/>
      <c r="U39" s="699"/>
      <c r="V39" s="699"/>
      <c r="W39" s="699"/>
      <c r="X39" s="699"/>
      <c r="Y39" s="699"/>
      <c r="Z39" s="699"/>
      <c r="AA39" s="699"/>
      <c r="AC39" s="692" t="str">
        <f>'Translate&amp;Prices&amp;Logo'!$B$180</f>
        <v>Cena za kompletnú objednávku</v>
      </c>
      <c r="AD39" s="692"/>
      <c r="AE39" s="692"/>
      <c r="AF39" s="692"/>
      <c r="AG39" s="692"/>
      <c r="AH39" s="692"/>
      <c r="AI39" s="692"/>
      <c r="AJ39" s="693"/>
      <c r="AK39" s="36"/>
      <c r="AL39" s="264">
        <f>IF(AQ13=TRUE,SUM(E48,I48,M48,AL37,W37),SUM(E48,I48,M48,W37))</f>
        <v>0</v>
      </c>
      <c r="AM39" s="268" t="str">
        <f>VLOOKUP('Translate&amp;Prices&amp;Logo'!D1,kombinace_1!$EV$1:$EW$6,2,0)</f>
        <v>€</v>
      </c>
      <c r="AY39" s="1"/>
      <c r="AZ39" s="1"/>
      <c r="BA39" s="1"/>
      <c r="BB39" s="1"/>
      <c r="BC39" s="1"/>
      <c r="BD39" s="1"/>
      <c r="BE39" s="12"/>
      <c r="BF39" s="12"/>
      <c r="BG39" s="1"/>
      <c r="BH39" s="1"/>
      <c r="BI39" s="1"/>
      <c r="BJ39" s="1"/>
      <c r="BK39" s="1"/>
      <c r="BL39" s="1"/>
      <c r="BM39" s="1"/>
      <c r="BN39" s="1"/>
      <c r="BO39" s="459"/>
      <c r="BP39" s="1"/>
      <c r="BQ39" s="1"/>
      <c r="BR39" s="1"/>
      <c r="BS39" s="1"/>
    </row>
    <row r="40" spans="2:74" ht="15.75" customHeight="1" thickBot="1">
      <c r="E40" s="703"/>
      <c r="F40" s="704"/>
      <c r="G40" s="705"/>
      <c r="H40" s="29"/>
      <c r="I40" s="703"/>
      <c r="J40" s="704"/>
      <c r="K40" s="705"/>
      <c r="L40" s="29"/>
      <c r="M40" s="703"/>
      <c r="N40" s="704"/>
      <c r="O40" s="705"/>
      <c r="S40" s="699"/>
      <c r="T40" s="699"/>
      <c r="U40" s="699"/>
      <c r="V40" s="699"/>
      <c r="W40" s="699"/>
      <c r="X40" s="699"/>
      <c r="Y40" s="699"/>
      <c r="Z40" s="699"/>
      <c r="AA40" s="699"/>
      <c r="AB40" s="12"/>
      <c r="AD40" s="43"/>
      <c r="AE40" s="1"/>
      <c r="BO40" s="459"/>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99"/>
      <c r="T41" s="699"/>
      <c r="U41" s="699"/>
      <c r="V41" s="699"/>
      <c r="W41" s="699"/>
      <c r="X41" s="699"/>
      <c r="Y41" s="699"/>
      <c r="Z41" s="699"/>
      <c r="AA41" s="699"/>
      <c r="AB41" s="460"/>
      <c r="AC41" s="44" t="s">
        <v>457</v>
      </c>
      <c r="AD41" s="44" t="s">
        <v>458</v>
      </c>
      <c r="AE41" s="44" t="s">
        <v>459</v>
      </c>
      <c r="AF41" s="44" t="s">
        <v>3605</v>
      </c>
      <c r="AG41" s="31" t="s">
        <v>3606</v>
      </c>
      <c r="AH41" s="31"/>
      <c r="BO41" s="459"/>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99"/>
      <c r="T42" s="699"/>
      <c r="U42" s="699"/>
      <c r="V42" s="699"/>
      <c r="W42" s="699"/>
      <c r="X42" s="699"/>
      <c r="Y42" s="699"/>
      <c r="Z42" s="699"/>
      <c r="AA42" s="699"/>
      <c r="AB42" s="461"/>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9"/>
    </row>
    <row r="43" spans="2:74" ht="15.75" hidden="1" customHeight="1" thickBot="1">
      <c r="C43" s="1" t="s">
        <v>1219</v>
      </c>
      <c r="E43" s="1" t="e">
        <f>IF(E42=2,E30,0)</f>
        <v>#REF!</v>
      </c>
      <c r="I43" s="1">
        <f>IFERROR(IF(I42=2,I30,0),0)</f>
        <v>0</v>
      </c>
      <c r="M43" s="1">
        <f>IFERROR(IF(M42=2,M30,0),0)</f>
        <v>0</v>
      </c>
      <c r="O43" s="4" t="e">
        <f>SUM(E43,I43,M43)</f>
        <v>#REF!</v>
      </c>
      <c r="S43" s="699"/>
      <c r="T43" s="699"/>
      <c r="U43" s="699"/>
      <c r="V43" s="699"/>
      <c r="W43" s="699"/>
      <c r="X43" s="699"/>
      <c r="Y43" s="699"/>
      <c r="Z43" s="699"/>
      <c r="AA43" s="699"/>
      <c r="AB43" s="461"/>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9"/>
    </row>
    <row r="44" spans="2:74" ht="15.75" hidden="1" customHeight="1" thickBot="1">
      <c r="C44" s="1" t="s">
        <v>1220</v>
      </c>
      <c r="E44" s="1" t="e">
        <f>IF(E42=1,E30,0)</f>
        <v>#REF!</v>
      </c>
      <c r="I44" s="1">
        <f>IFERROR(IF(I42=1,I30,0),0)</f>
        <v>0</v>
      </c>
      <c r="M44" s="1">
        <f>IFERROR(IF(M42=1,M30,0),0)</f>
        <v>0</v>
      </c>
      <c r="O44" s="5" t="e">
        <f>SUM(E44,I44,M44)</f>
        <v>#REF!</v>
      </c>
      <c r="S44" s="699"/>
      <c r="T44" s="699"/>
      <c r="U44" s="699"/>
      <c r="V44" s="699"/>
      <c r="W44" s="699"/>
      <c r="X44" s="699"/>
      <c r="Y44" s="699"/>
      <c r="Z44" s="699"/>
      <c r="AA44" s="699"/>
      <c r="AB44" s="461"/>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9"/>
    </row>
    <row r="45" spans="2:74" ht="15.75" hidden="1" customHeight="1">
      <c r="S45" s="699"/>
      <c r="T45" s="699"/>
      <c r="U45" s="699"/>
      <c r="V45" s="699"/>
      <c r="W45" s="699"/>
      <c r="X45" s="699"/>
      <c r="Y45" s="699"/>
      <c r="Z45" s="699"/>
      <c r="AA45" s="699"/>
      <c r="AB45" s="460"/>
      <c r="AC45" s="31">
        <f>SUM(AC42:AC44)</f>
        <v>0</v>
      </c>
      <c r="AD45" s="31">
        <f>SUM(AD42:AD44)</f>
        <v>0</v>
      </c>
      <c r="AE45" s="31">
        <f>SUM(AE42:AE44)</f>
        <v>0</v>
      </c>
      <c r="AF45" s="31">
        <f>SUM(AF42:AF44)</f>
        <v>0</v>
      </c>
      <c r="AG45" s="31"/>
      <c r="AH45" s="31"/>
      <c r="BO45" s="459"/>
    </row>
    <row r="46" spans="2:74" ht="15.75" customHeight="1">
      <c r="S46" s="699"/>
      <c r="T46" s="699"/>
      <c r="U46" s="699"/>
      <c r="V46" s="699"/>
      <c r="W46" s="699"/>
      <c r="X46" s="699"/>
      <c r="Y46" s="699"/>
      <c r="Z46" s="699"/>
      <c r="AA46" s="699"/>
      <c r="AB46" s="460"/>
      <c r="AC46" s="31"/>
      <c r="AD46" s="31"/>
      <c r="AE46" s="31"/>
      <c r="AF46" s="31"/>
      <c r="AG46" s="31"/>
      <c r="AH46" s="31"/>
      <c r="BO46" s="459"/>
      <c r="BU46" s="1"/>
      <c r="BV46" s="1"/>
    </row>
    <row r="47" spans="2:74" ht="14.85" customHeight="1" thickBot="1">
      <c r="S47" s="699"/>
      <c r="T47" s="699"/>
      <c r="U47" s="699"/>
      <c r="V47" s="699"/>
      <c r="W47" s="699"/>
      <c r="X47" s="699"/>
      <c r="Y47" s="699"/>
      <c r="Z47" s="699"/>
      <c r="AA47" s="699"/>
      <c r="AB47" s="12"/>
      <c r="BO47" s="459"/>
    </row>
    <row r="48" spans="2:74" ht="14.85" customHeight="1" thickBot="1">
      <c r="B48" s="692" t="str">
        <f>'Translate&amp;Prices&amp;Logo'!$B$178</f>
        <v>Cena rámčekov celkom</v>
      </c>
      <c r="C48" s="692"/>
      <c r="D48" s="293"/>
      <c r="E48" s="707">
        <f>SUM(E55:E56)*(1-(I15/100))</f>
        <v>0</v>
      </c>
      <c r="F48" s="708"/>
      <c r="G48" s="267" t="str">
        <f>VLOOKUP('Translate&amp;Prices&amp;Logo'!D1,kombinace_1!$EV$1:$EW$6,2,0)</f>
        <v>€</v>
      </c>
      <c r="H48" s="291"/>
      <c r="I48" s="707">
        <f>SUM(I55:I56)*(1-(I15/100))</f>
        <v>0</v>
      </c>
      <c r="J48" s="708"/>
      <c r="K48" s="267" t="str">
        <f>VLOOKUP('Translate&amp;Prices&amp;Logo'!D1,kombinace_1!$EV$1:$EW$6,2,0)</f>
        <v>€</v>
      </c>
      <c r="L48" s="291"/>
      <c r="M48" s="707">
        <f>SUM(M55:M56)*(1-(I15/100))</f>
        <v>0</v>
      </c>
      <c r="N48" s="708"/>
      <c r="O48" s="267" t="str">
        <f>VLOOKUP('Translate&amp;Prices&amp;Logo'!D1,kombinace_1!$EV$1:$EW$6,2,0)</f>
        <v>€</v>
      </c>
      <c r="S48" s="12"/>
      <c r="T48" s="12"/>
      <c r="U48" s="12"/>
      <c r="V48" s="12"/>
      <c r="W48" s="12"/>
      <c r="X48" s="12"/>
      <c r="Y48" s="12"/>
      <c r="Z48" s="12"/>
      <c r="AA48" s="12"/>
      <c r="AB48" s="12"/>
      <c r="BO48" s="459"/>
      <c r="BV48" s="1"/>
    </row>
    <row r="49" spans="3:77" ht="14.85" customHeight="1">
      <c r="O49" s="50"/>
      <c r="P49" s="50"/>
      <c r="Q49" s="50"/>
      <c r="R49" s="50"/>
      <c r="S49" s="462"/>
      <c r="T49" s="462"/>
      <c r="U49" s="462"/>
      <c r="V49" s="463"/>
      <c r="W49" s="12"/>
      <c r="X49" s="12"/>
      <c r="Y49" s="12"/>
      <c r="Z49" s="12"/>
      <c r="AA49" s="12"/>
      <c r="AB49" s="12"/>
      <c r="BO49" s="459"/>
      <c r="BT49" s="1"/>
      <c r="BU49" s="1"/>
    </row>
    <row r="50" spans="3:77" ht="14.85" customHeight="1">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M50" s="257" t="str">
        <f>'Translate&amp;Prices&amp;Logo'!$B$320</f>
        <v>Štandardne sú rámčeky pripravené pre posuvné kovanie H27AL (nosnosť 25 kg na rámček) a H37AL (nosnosť 35 kg na rámček).</v>
      </c>
      <c r="BO50" s="459"/>
    </row>
    <row r="51" spans="3:77" ht="14.85" customHeight="1">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M51" s="257" t="str">
        <f>'Translate&amp;Prices&amp;Logo'!$B$319</f>
        <v>Výška rámčeku vnútorná výška skrinky - 6 mm.</v>
      </c>
      <c r="BO51" s="459"/>
      <c r="BU51" s="1"/>
    </row>
    <row r="52" spans="3:77" ht="14.85" customHeight="1">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M52" s="257" t="str">
        <f>'Translate&amp;Prices&amp;Logo'!$B$330</f>
        <v>Cena za posuvné rámčeky je rovnaká ako cena za bežné rámčeky.</v>
      </c>
      <c r="BO52" s="459"/>
    </row>
    <row r="53" spans="3:77" ht="14.85" customHeight="1">
      <c r="BO53" s="459"/>
    </row>
    <row r="54" spans="3:77" ht="14.85" hidden="1" customHeight="1">
      <c r="BO54" s="459"/>
    </row>
    <row r="55" spans="3:77" ht="14.85" hidden="1" customHeight="1">
      <c r="C55" s="1" t="s">
        <v>3280</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c r="BO55" s="459"/>
      <c r="BV55" s="455"/>
      <c r="BY55" s="112"/>
    </row>
    <row r="56" spans="3:77" ht="14.85" hidden="1" customHeight="1">
      <c r="C56" s="1" t="s">
        <v>3281</v>
      </c>
      <c r="E56" s="1">
        <f>IFERROR(((VLOOKUP(E39,'Translate&amp;Prices&amp;Logo'!B99:D167,2,0))*((E28/1000)*(E26/1000)))*E30,0)</f>
        <v>0</v>
      </c>
      <c r="I56" s="1">
        <f>IFERROR(((VLOOKUP(I39,'Translate&amp;Prices&amp;Logo'!B99:D167,2,0))*((I28/1000)*(I26/1000)))*I30,0)</f>
        <v>0</v>
      </c>
      <c r="M56" s="1">
        <f>IFERROR(((VLOOKUP(M39,'Translate&amp;Prices&amp;Logo'!B99:D167,2,0))*((M28/1000)*(M26/1000)))*M30,0)</f>
        <v>0</v>
      </c>
      <c r="BO56" s="452"/>
      <c r="BX56" s="112"/>
      <c r="BY56" s="112"/>
    </row>
    <row r="57" spans="3:77" ht="14.85" hidden="1" customHeight="1">
      <c r="E57" s="34" t="e">
        <f t="array" aca="1" ref="E57:E100" ca="1">IF(VLOOKUP(E35,kombinace_1!A3:C63,3,0)="N",INDIRECT($G$41),_corleone)</f>
        <v>#N/A</v>
      </c>
      <c r="I57" s="1" t="e">
        <f t="array" aca="1" ref="I57:I100" ca="1">IF(VLOOKUP(I35,kombinace_1!A3:C63,3,0)="N",INDIRECT($G$41),_corleone)</f>
        <v>#N/A</v>
      </c>
      <c r="M57" s="1" t="e">
        <f t="array" aca="1" ref="M57:M100" ca="1">IF(VLOOKUP(M35,kombinace_1!A3:C63,3,0)="N",INDIRECT($G$41),_corleone)</f>
        <v>#N/A</v>
      </c>
      <c r="U57" t="str">
        <f>'Translate&amp;Prices&amp;Logo'!$B$6</f>
        <v>BRW (elox.) - maximálna odporúčaná odporúčaná dĺžka profilu 2500 mm</v>
      </c>
      <c r="AJ57" s="1">
        <v>20</v>
      </c>
      <c r="BO57" s="452"/>
    </row>
    <row r="58" spans="3:77" ht="14.85" hidden="1" customHeight="1">
      <c r="E58" s="34" t="e">
        <f ca="1"/>
        <v>#N/A</v>
      </c>
      <c r="I58" s="1" t="e">
        <f ca="1"/>
        <v>#N/A</v>
      </c>
      <c r="M58" s="1" t="e">
        <f ca="1"/>
        <v>#N/A</v>
      </c>
      <c r="U58" t="str">
        <f>'Translate&amp;Prices&amp;Logo'!$B$8</f>
        <v>BRW biela matt RAL 9003 - maximálna odporúčaná dĺžka profilu 2500 mm</v>
      </c>
      <c r="AJ58" s="1">
        <v>20</v>
      </c>
      <c r="BO58" s="452"/>
    </row>
    <row r="59" spans="3:77" ht="14.85" hidden="1" customHeight="1">
      <c r="E59" s="34" t="e">
        <f ca="1"/>
        <v>#N/A</v>
      </c>
      <c r="I59" s="1" t="e">
        <f ca="1"/>
        <v>#N/A</v>
      </c>
      <c r="M59" s="1" t="e">
        <f ca="1"/>
        <v>#N/A</v>
      </c>
      <c r="U59" t="str">
        <f>'Translate&amp;Prices&amp;Logo'!$B$9</f>
        <v>BRW biela lesk RAL 9003 - maximálna odporúčaná dĺžka profilu 2500 mm</v>
      </c>
      <c r="AJ59" s="1">
        <v>20</v>
      </c>
      <c r="BO59" s="452"/>
    </row>
    <row r="60" spans="3:77" ht="14.85" hidden="1" customHeight="1">
      <c r="E60" s="34" t="e">
        <f ca="1"/>
        <v>#N/A</v>
      </c>
      <c r="I60" s="1" t="e">
        <f ca="1"/>
        <v>#N/A</v>
      </c>
      <c r="M60" s="1" t="e">
        <f ca="1"/>
        <v>#N/A</v>
      </c>
      <c r="U60" t="str">
        <f>'Translate&amp;Prices&amp;Logo'!$B$11</f>
        <v>BRW brúsené - maximálna odporúčaná dĺžka profilu 2500 mm</v>
      </c>
      <c r="AJ60" s="1">
        <v>20</v>
      </c>
      <c r="BO60" s="452"/>
    </row>
    <row r="61" spans="3:77" ht="14.85" hidden="1" customHeight="1">
      <c r="E61" s="34" t="e">
        <f ca="1"/>
        <v>#N/A</v>
      </c>
      <c r="I61" s="1" t="e">
        <f ca="1"/>
        <v>#N/A</v>
      </c>
      <c r="M61" s="1" t="e">
        <f ca="1"/>
        <v>#N/A</v>
      </c>
      <c r="U61" t="str">
        <f>'Translate&amp;Prices&amp;Logo'!$B$12</f>
        <v>BRW čierna matt - maximálna odporúčaná dĺžka profilu 2500 mm</v>
      </c>
      <c r="AJ61" s="1">
        <v>20</v>
      </c>
      <c r="BO61" s="452"/>
    </row>
    <row r="62" spans="3:77" ht="14.85" hidden="1" customHeight="1">
      <c r="E62" s="34" t="e">
        <f ca="1"/>
        <v>#N/A</v>
      </c>
      <c r="I62" s="1" t="e">
        <f ca="1"/>
        <v>#N/A</v>
      </c>
      <c r="M62" s="1" t="e">
        <f ca="1"/>
        <v>#N/A</v>
      </c>
      <c r="U62" t="str">
        <f>'Translate&amp;Prices&amp;Logo'!$B$14</f>
        <v>BRW čierna brúsená - maximálna odporúčaná dĺžka profilu 2500 mm</v>
      </c>
      <c r="AJ62" s="1">
        <v>20</v>
      </c>
      <c r="BO62" s="452"/>
    </row>
    <row r="63" spans="3:77" ht="14.85" hidden="1" customHeight="1">
      <c r="E63" s="34" t="e">
        <f ca="1"/>
        <v>#N/A</v>
      </c>
      <c r="I63" s="1" t="e">
        <f ca="1"/>
        <v>#N/A</v>
      </c>
      <c r="M63" s="1" t="e">
        <f ca="1"/>
        <v>#N/A</v>
      </c>
      <c r="U63" t="str">
        <f>'Translate&amp;Prices&amp;Logo'!$B$15</f>
        <v>BRW svetlá nerez (INOX ACIER gratta)- maximálna odporúčaná dĺžka profilu 2500 mm</v>
      </c>
      <c r="AJ63" s="1">
        <v>20</v>
      </c>
      <c r="BO63" s="452"/>
    </row>
    <row r="64" spans="3:77" ht="14.85" hidden="1" customHeight="1">
      <c r="E64" s="34" t="e">
        <f ca="1"/>
        <v>#N/A</v>
      </c>
      <c r="I64" s="1" t="e">
        <f ca="1"/>
        <v>#N/A</v>
      </c>
      <c r="M64" s="1" t="e">
        <f ca="1"/>
        <v>#N/A</v>
      </c>
      <c r="U64" t="str">
        <f>'Translate&amp;Prices&amp;Logo'!$B$7</f>
        <v>BRW antracit RAL 7021 - maximálna odporúčaná dĺžka profilu 2500 mm</v>
      </c>
      <c r="AJ64" s="1">
        <v>20</v>
      </c>
      <c r="BO64" s="452"/>
    </row>
    <row r="65" spans="5:71" ht="14.85" hidden="1" customHeight="1">
      <c r="E65" s="34" t="e">
        <f ca="1"/>
        <v>#N/A</v>
      </c>
      <c r="I65" s="1" t="e">
        <f ca="1"/>
        <v>#N/A</v>
      </c>
      <c r="M65" s="1" t="e">
        <f ca="1"/>
        <v>#N/A</v>
      </c>
      <c r="U65" t="str">
        <f>'Translate&amp;Prices&amp;Logo'!$B$69</f>
        <v>BRW champagne - maximálna odporúčaná dĺžka profilu 2500 mm</v>
      </c>
      <c r="AJ65" s="1">
        <v>20</v>
      </c>
      <c r="BO65" s="452"/>
    </row>
    <row r="66" spans="5:71" ht="14.85" hidden="1" customHeight="1">
      <c r="E66" s="34" t="e">
        <f ca="1"/>
        <v>#N/A</v>
      </c>
      <c r="I66" s="1" t="e">
        <f ca="1"/>
        <v>#N/A</v>
      </c>
      <c r="M66" s="1" t="e">
        <f ca="1"/>
        <v>#N/A</v>
      </c>
      <c r="U66" t="str">
        <f>'Translate&amp;Prices&amp;Logo'!$B$70</f>
        <v>BRW champagne light - maximálna odporúčaná dĺžka profilu 2500 mm</v>
      </c>
      <c r="AJ66" s="1">
        <v>20</v>
      </c>
    </row>
    <row r="67" spans="5:71" ht="14.85" hidden="1" customHeight="1">
      <c r="E67" s="34" t="e">
        <f ca="1"/>
        <v>#N/A</v>
      </c>
      <c r="I67" s="1" t="e">
        <f ca="1"/>
        <v>#N/A</v>
      </c>
      <c r="M67" s="1" t="e">
        <f ca="1"/>
        <v>#N/A</v>
      </c>
      <c r="U67" t="str">
        <f>'Translate&amp;Prices&amp;Logo'!$B$10</f>
        <v>BRW hnědá - maximálna odporúčaná dĺžka profilu 2500 mm</v>
      </c>
      <c r="AJ67" s="1">
        <v>20</v>
      </c>
      <c r="BN67" s="456"/>
      <c r="BO67" s="318"/>
      <c r="BP67" s="318"/>
      <c r="BQ67" s="318"/>
      <c r="BR67" s="318"/>
      <c r="BS67" s="318"/>
    </row>
    <row r="68" spans="5:71" ht="14.85" hidden="1" customHeight="1">
      <c r="E68" s="34" t="e">
        <f ca="1"/>
        <v>#N/A</v>
      </c>
      <c r="I68" s="1" t="e">
        <f ca="1"/>
        <v>#N/A</v>
      </c>
      <c r="M68" s="1" t="e">
        <f ca="1"/>
        <v>#N/A</v>
      </c>
      <c r="U68" t="str">
        <f>'Translate&amp;Prices&amp;Logo'!$B$16</f>
        <v>BRW tmavá nerez brúsená (INOX LIJA) - maximálna odporúčaná dĺžka profilu 2500 mm</v>
      </c>
      <c r="AJ68" s="1">
        <v>20</v>
      </c>
      <c r="BN68" s="457"/>
      <c r="BO68" s="427"/>
      <c r="BP68" s="427"/>
      <c r="BQ68" s="427"/>
      <c r="BR68" s="174"/>
      <c r="BS68" s="174"/>
    </row>
    <row r="69" spans="5:71" ht="14.85" hidden="1" customHeight="1">
      <c r="E69" s="34" t="e">
        <f ca="1"/>
        <v>#N/A</v>
      </c>
      <c r="I69" s="1" t="e">
        <f ca="1"/>
        <v>#N/A</v>
      </c>
      <c r="M69" s="1" t="e">
        <f ca="1"/>
        <v>#N/A</v>
      </c>
      <c r="U69" t="str">
        <f>'Translate&amp;Prices&amp;Logo'!$B$64</f>
        <v>BRW kašmír - maximálna odporúčaná dĺžka profilu 2500 mm</v>
      </c>
      <c r="AJ69" s="1">
        <v>20</v>
      </c>
      <c r="BN69" s="10"/>
      <c r="BO69" s="427"/>
      <c r="BP69" s="427"/>
      <c r="BQ69" s="427"/>
      <c r="BR69" s="174"/>
      <c r="BS69" s="174"/>
    </row>
    <row r="70" spans="5:71" ht="14.85" hidden="1" customHeight="1">
      <c r="E70" s="34" t="e">
        <f ca="1"/>
        <v>#N/A</v>
      </c>
      <c r="I70" s="1" t="e">
        <f ca="1"/>
        <v>#N/A</v>
      </c>
      <c r="M70" s="1" t="e">
        <f ca="1"/>
        <v>#N/A</v>
      </c>
      <c r="U70" t="str">
        <f>'Translate&amp;Prices&amp;Logo'!$B$13</f>
        <v>BRW zlatá - maximálna odporúčaná dĺžka profilu 2500 mm</v>
      </c>
      <c r="AJ70" s="1">
        <v>20</v>
      </c>
      <c r="BN70" s="10"/>
      <c r="BO70"/>
      <c r="BP70"/>
      <c r="BQ70"/>
      <c r="BR70"/>
      <c r="BS70" s="174"/>
    </row>
    <row r="71" spans="5:71" ht="14.85" hidden="1" customHeight="1">
      <c r="E71" s="34" t="e">
        <f ca="1"/>
        <v>#N/A</v>
      </c>
      <c r="I71" s="1" t="e">
        <f ca="1"/>
        <v>#N/A</v>
      </c>
      <c r="M71" s="1" t="e">
        <f ca="1"/>
        <v>#N/A</v>
      </c>
      <c r="U71" t="str">
        <f>'Translate&amp;Prices&amp;Logo'!$B$55</f>
        <v>BRW zlatá brúsená - maximálna odporúčaná dĺžka profilu 2500 mm</v>
      </c>
      <c r="AJ71" s="1">
        <v>40</v>
      </c>
    </row>
    <row r="72" spans="5:71" ht="14.85" hidden="1" customHeight="1">
      <c r="E72" s="34" t="e">
        <f ca="1"/>
        <v>#N/A</v>
      </c>
      <c r="I72" s="1" t="e">
        <f ca="1"/>
        <v>#N/A</v>
      </c>
      <c r="M72" s="1" t="e">
        <f ca="1"/>
        <v>#N/A</v>
      </c>
      <c r="U72" t="str">
        <f>'Translate&amp;Prices&amp;Logo'!$B$17</f>
        <v>Corleone (elox.) - maximálna odporúčaná dĺžka profilu 1500 mm</v>
      </c>
      <c r="AJ72" s="1">
        <v>40</v>
      </c>
    </row>
    <row r="73" spans="5:71" ht="14.85" hidden="1" customHeight="1">
      <c r="E73" s="34" t="e">
        <f ca="1"/>
        <v>#N/A</v>
      </c>
      <c r="I73" s="1" t="e">
        <f ca="1"/>
        <v>#N/A</v>
      </c>
      <c r="M73" s="1" t="e">
        <f ca="1"/>
        <v>#N/A</v>
      </c>
      <c r="U73" t="str">
        <f>'Translate&amp;Prices&amp;Logo'!$B$18</f>
        <v>Corleone čierne mat - maximálna odporúčaná dĺžka profilu 1500 mm</v>
      </c>
      <c r="AJ73" s="1">
        <v>20</v>
      </c>
    </row>
    <row r="74" spans="5:71" ht="14.85" hidden="1" customHeight="1">
      <c r="E74" s="34" t="e">
        <f ca="1"/>
        <v>#N/A</v>
      </c>
      <c r="I74" s="1" t="e">
        <f ca="1"/>
        <v>#N/A</v>
      </c>
      <c r="M74" s="1" t="e">
        <f ca="1"/>
        <v>#N/A</v>
      </c>
      <c r="U74" t="str">
        <f>'Translate&amp;Prices&amp;Logo'!$B$59</f>
        <v>ASTI čierna mat - maximálna odporúčaná dĺžka profilu 2150</v>
      </c>
      <c r="AJ74" s="1">
        <v>20</v>
      </c>
      <c r="BO74" s="344"/>
      <c r="BP74" s="344"/>
      <c r="BQ74" s="344"/>
      <c r="BR74" s="344"/>
      <c r="BS74" s="344"/>
    </row>
    <row r="75" spans="5:71" ht="14.85" hidden="1" customHeight="1">
      <c r="E75" s="34" t="e">
        <f ca="1"/>
        <v>#N/A</v>
      </c>
      <c r="I75" s="1" t="e">
        <f ca="1"/>
        <v>#N/A</v>
      </c>
      <c r="M75" s="1" t="e">
        <f ca="1"/>
        <v>#N/A</v>
      </c>
      <c r="U75" t="str">
        <f>'Translate&amp;Prices&amp;Logo'!$B$60</f>
        <v>ASTI antracit RAL 7021 mat - maximálna odporúčaná dĺžka profilu 2500 mm</v>
      </c>
      <c r="AJ75" s="1">
        <v>40</v>
      </c>
      <c r="BO75" s="344"/>
      <c r="BP75" s="344"/>
      <c r="BQ75" s="344"/>
      <c r="BR75" s="344"/>
      <c r="BS75" s="344"/>
    </row>
    <row r="76" spans="5:71" ht="14.85" hidden="1" customHeight="1">
      <c r="E76" s="34" t="e">
        <f ca="1"/>
        <v>#N/A</v>
      </c>
      <c r="I76" s="1" t="e">
        <f ca="1"/>
        <v>#N/A</v>
      </c>
      <c r="M76" s="1" t="e">
        <f ca="1"/>
        <v>#N/A</v>
      </c>
      <c r="U76" t="str">
        <f>'Translate&amp;Prices&amp;Logo'!$B$19</f>
        <v>Imola (elox.) - maximálna odporúčaná dĺžka profilu 2500 mm</v>
      </c>
      <c r="AJ76" s="1">
        <v>40</v>
      </c>
      <c r="BO76" s="344"/>
      <c r="BP76" s="344"/>
      <c r="BQ76" s="344"/>
      <c r="BR76" s="344"/>
      <c r="BS76" s="344"/>
    </row>
    <row r="77" spans="5:71" ht="14.85" hidden="1" customHeight="1">
      <c r="E77" s="34" t="e">
        <f ca="1"/>
        <v>#N/A</v>
      </c>
      <c r="I77" s="1" t="e">
        <f ca="1"/>
        <v>#N/A</v>
      </c>
      <c r="M77" s="1" t="e">
        <f ca="1"/>
        <v>#N/A</v>
      </c>
      <c r="U77" t="str">
        <f>'Translate&amp;Prices&amp;Logo'!$B$20</f>
        <v>Imola čierna mat - maximálna odporúčaná dĺžka profilu 2500 mm</v>
      </c>
      <c r="AJ77" s="1">
        <v>40</v>
      </c>
      <c r="BO77" s="344"/>
      <c r="BP77" s="344"/>
      <c r="BQ77" s="344"/>
      <c r="BR77" s="344"/>
      <c r="BS77" s="344"/>
    </row>
    <row r="78" spans="5:71" ht="14.85" hidden="1" customHeight="1">
      <c r="E78" s="34" t="e">
        <f ca="1"/>
        <v>#N/A</v>
      </c>
      <c r="I78" s="1" t="e">
        <f ca="1"/>
        <v>#N/A</v>
      </c>
      <c r="M78" s="1" t="e">
        <f ca="1"/>
        <v>#N/A</v>
      </c>
      <c r="U78" t="str">
        <f>'Translate&amp;Prices&amp;Logo'!$B$21</f>
        <v>Imola biela matt RAL 9003 - maximálna odporúčaná dĺžka profilu 2500 mm</v>
      </c>
      <c r="AJ78" s="1">
        <v>40</v>
      </c>
    </row>
    <row r="79" spans="5:71" ht="14.85" hidden="1" customHeight="1">
      <c r="E79" s="34" t="e">
        <f ca="1"/>
        <v>#N/A</v>
      </c>
      <c r="I79" s="1" t="e">
        <f ca="1"/>
        <v>#N/A</v>
      </c>
      <c r="M79" s="1" t="e">
        <f ca="1"/>
        <v>#N/A</v>
      </c>
      <c r="U79" t="str">
        <f>'Translate&amp;Prices&amp;Logo'!$B$45</f>
        <v>Imola zlatá - maximálna odporúčaná dĺžka profilu 2150 mm</v>
      </c>
      <c r="AJ79" s="1">
        <v>40</v>
      </c>
    </row>
    <row r="80" spans="5:71" ht="14.85" hidden="1" customHeight="1">
      <c r="E80" s="34" t="e">
        <f ca="1"/>
        <v>#N/A</v>
      </c>
      <c r="I80" s="1" t="e">
        <f ca="1"/>
        <v>#N/A</v>
      </c>
      <c r="M80" s="1" t="e">
        <f ca="1"/>
        <v>#N/A</v>
      </c>
      <c r="U80" t="str">
        <f>'Translate&amp;Prices&amp;Logo'!$B$22</f>
        <v>Modena (elox.) - maximálna odporúčaná dĺžka profilu 2500 mm</v>
      </c>
      <c r="AJ80" s="1">
        <v>40</v>
      </c>
    </row>
    <row r="81" spans="5:72" ht="14.85" hidden="1" customHeight="1">
      <c r="E81" s="34" t="e">
        <f ca="1"/>
        <v>#N/A</v>
      </c>
      <c r="I81" s="1" t="e">
        <f ca="1"/>
        <v>#N/A</v>
      </c>
      <c r="M81" s="1" t="e">
        <f ca="1"/>
        <v>#N/A</v>
      </c>
      <c r="U81" t="str">
        <f>'Translate&amp;Prices&amp;Logo'!$B$23</f>
        <v>Modena čierna matt - maximálna odporúčaná dĺžka profilu 2500 mm</v>
      </c>
      <c r="AJ81" s="1">
        <v>40</v>
      </c>
    </row>
    <row r="82" spans="5:72" ht="14.85" hidden="1" customHeight="1">
      <c r="E82" s="34" t="e">
        <f ca="1"/>
        <v>#N/A</v>
      </c>
      <c r="I82" s="1" t="e">
        <f ca="1"/>
        <v>#N/A</v>
      </c>
      <c r="M82" s="1" t="e">
        <f ca="1"/>
        <v>#N/A</v>
      </c>
      <c r="U82" t="str">
        <f>'Translate&amp;Prices&amp;Logo'!$B$25</f>
        <v>Modena čierna brúsená - maximálna odporúčaná dĺžka profilu 2500 mm</v>
      </c>
      <c r="AJ82" s="1">
        <v>40</v>
      </c>
    </row>
    <row r="83" spans="5:72" ht="14.85" hidden="1" customHeight="1">
      <c r="E83" s="34" t="e">
        <f ca="1"/>
        <v>#N/A</v>
      </c>
      <c r="I83" s="1" t="e">
        <f ca="1"/>
        <v>#N/A</v>
      </c>
      <c r="M83" s="1" t="e">
        <f ca="1"/>
        <v>#N/A</v>
      </c>
      <c r="U83" t="str">
        <f>'Translate&amp;Prices&amp;Logo'!$B$26</f>
        <v>Modena tmavá nerez brúsená LIJA - maximálna odporúčaná dĺžka profilu 2500 mm</v>
      </c>
      <c r="AJ83" s="1">
        <v>40</v>
      </c>
      <c r="BT83" s="1"/>
    </row>
    <row r="84" spans="5:72" ht="14.85" hidden="1" customHeight="1">
      <c r="E84" s="34" t="e">
        <f ca="1"/>
        <v>#N/A</v>
      </c>
      <c r="I84" s="1" t="e">
        <f ca="1"/>
        <v>#N/A</v>
      </c>
      <c r="M84" s="1" t="e">
        <f ca="1"/>
        <v>#N/A</v>
      </c>
      <c r="U84" t="str">
        <f>'Translate&amp;Prices&amp;Logo'!$B$61</f>
        <v>Modena hnědá - maximálna odporúčaná dĺžka profilu 2500 mm</v>
      </c>
      <c r="AJ84" s="1">
        <v>40</v>
      </c>
      <c r="BT84" s="1"/>
    </row>
    <row r="85" spans="5:72" ht="14.85" hidden="1" customHeight="1">
      <c r="E85" s="34" t="e">
        <f ca="1"/>
        <v>#N/A</v>
      </c>
      <c r="I85" s="1" t="e">
        <f ca="1"/>
        <v>#N/A</v>
      </c>
      <c r="M85" s="1" t="e">
        <f ca="1"/>
        <v>#N/A</v>
      </c>
      <c r="U85" t="str">
        <f>'Translate&amp;Prices&amp;Logo'!$B$29</f>
        <v>Pisa (elox.) - maximálna odporúčaná dĺžka profilu 2500 mm</v>
      </c>
      <c r="AJ85" s="1">
        <v>40</v>
      </c>
      <c r="BT85" s="1"/>
    </row>
    <row r="86" spans="5:72" ht="14.85" hidden="1" customHeight="1">
      <c r="E86" s="34" t="e">
        <f ca="1"/>
        <v>#N/A</v>
      </c>
      <c r="I86" s="1" t="e">
        <f ca="1"/>
        <v>#N/A</v>
      </c>
      <c r="M86" s="1" t="e">
        <f ca="1"/>
        <v>#N/A</v>
      </c>
      <c r="U86" t="str">
        <f>'Translate&amp;Prices&amp;Logo'!$B$52</f>
        <v>Pisa biela mat RAL 9003 - maximálna odporúčaná dĺžka profilu 2500 mm</v>
      </c>
      <c r="AJ86" s="1">
        <v>40</v>
      </c>
      <c r="BT86" s="1"/>
    </row>
    <row r="87" spans="5:72" ht="14.85" hidden="1" customHeight="1">
      <c r="E87" s="34" t="e">
        <f ca="1"/>
        <v>#N/A</v>
      </c>
      <c r="I87" s="1" t="e">
        <f ca="1"/>
        <v>#N/A</v>
      </c>
      <c r="M87" s="1" t="e">
        <f ca="1"/>
        <v>#N/A</v>
      </c>
      <c r="U87" t="str">
        <f>'Translate&amp;Prices&amp;Logo'!$B$53</f>
        <v>Pisa biela lesk RAL 9003 - maximálna odporúčaná dĺžka profilu 2500 mm</v>
      </c>
      <c r="AJ87" s="1">
        <v>40</v>
      </c>
      <c r="BT87" s="1"/>
    </row>
    <row r="88" spans="5:72" ht="14.85" hidden="1" customHeight="1">
      <c r="E88" s="34" t="e">
        <f ca="1"/>
        <v>#N/A</v>
      </c>
      <c r="I88" s="1" t="e">
        <f ca="1"/>
        <v>#N/A</v>
      </c>
      <c r="M88" s="1" t="e">
        <f ca="1"/>
        <v>#N/A</v>
      </c>
      <c r="U88" t="str">
        <f>'Translate&amp;Prices&amp;Logo'!$B$30</f>
        <v>Pisa čierna matt - maximálna odporúčaná dĺžka profilu 2500 mm</v>
      </c>
      <c r="AJ88" s="1">
        <v>20</v>
      </c>
    </row>
    <row r="89" spans="5:72" ht="14.85" hidden="1" customHeight="1">
      <c r="E89" s="34" t="e">
        <f ca="1"/>
        <v>#N/A</v>
      </c>
      <c r="I89" s="1" t="e">
        <f ca="1"/>
        <v>#N/A</v>
      </c>
      <c r="M89" s="1" t="e">
        <f ca="1"/>
        <v>#N/A</v>
      </c>
      <c r="U89" t="str">
        <f>'Translate&amp;Prices&amp;Logo'!$B$58</f>
        <v>Pisa zlatá - maximálna odporúčaná dĺžka profilu 2150 mm</v>
      </c>
      <c r="AJ89" s="1">
        <v>20</v>
      </c>
    </row>
    <row r="90" spans="5:72" ht="14.85" hidden="1" customHeight="1">
      <c r="E90" s="34" t="e">
        <f ca="1"/>
        <v>#N/A</v>
      </c>
      <c r="I90" s="1" t="e">
        <f ca="1"/>
        <v>#N/A</v>
      </c>
      <c r="M90" s="1" t="e">
        <f ca="1"/>
        <v>#N/A</v>
      </c>
      <c r="U90" t="str">
        <f>'Translate&amp;Prices&amp;Logo'!$B$50</f>
        <v>Rocca (elox.) - maximálna odporúčaná dĺžka profilu 2150 mm</v>
      </c>
      <c r="AJ90" s="1">
        <v>20</v>
      </c>
    </row>
    <row r="91" spans="5:72" ht="14.85" hidden="1" customHeight="1">
      <c r="E91" s="34" t="e">
        <f ca="1"/>
        <v>#N/A</v>
      </c>
      <c r="I91" s="1" t="e">
        <f ca="1"/>
        <v>#N/A</v>
      </c>
      <c r="M91" s="1" t="e">
        <f ca="1"/>
        <v>#N/A</v>
      </c>
      <c r="U91" t="str">
        <f>'Translate&amp;Prices&amp;Logo'!$B$42</f>
        <v>Rocca čierna mat - maximálna odporúčaná dĺžka profilu 2150 mm</v>
      </c>
      <c r="AJ91" s="1">
        <v>20</v>
      </c>
    </row>
    <row r="92" spans="5:72" ht="14.85" hidden="1" customHeight="1">
      <c r="E92" s="34" t="e">
        <f ca="1"/>
        <v>#N/A</v>
      </c>
      <c r="I92" s="1" t="e">
        <f ca="1"/>
        <v>#N/A</v>
      </c>
      <c r="M92" s="1" t="e">
        <f ca="1"/>
        <v>#N/A</v>
      </c>
      <c r="U92" t="str">
        <f>'Translate&amp;Prices&amp;Logo'!$B$63</f>
        <v>Treviso čierna matt - maximálna odporúčaná dĺžka profilu 2750 mm</v>
      </c>
      <c r="AJ92" s="1">
        <v>20</v>
      </c>
    </row>
    <row r="93" spans="5:72" ht="14.85" hidden="1" customHeight="1">
      <c r="E93" s="34" t="e">
        <f ca="1"/>
        <v>#N/A</v>
      </c>
      <c r="I93" s="1" t="e">
        <f ca="1"/>
        <v>#N/A</v>
      </c>
      <c r="M93" s="1" t="e">
        <f ca="1"/>
        <v>#N/A</v>
      </c>
      <c r="U93" t="str">
        <f>'Translate&amp;Prices&amp;Logo'!$B$34</f>
        <v>Verona (elox.) - maximálna odporúčaná dĺžka profilu 2500 mm</v>
      </c>
      <c r="AJ93" s="1">
        <v>20</v>
      </c>
    </row>
    <row r="94" spans="5:72" ht="14.85" hidden="1" customHeight="1">
      <c r="E94" s="34" t="e">
        <f ca="1"/>
        <v>#N/A</v>
      </c>
      <c r="I94" s="1" t="e">
        <f ca="1"/>
        <v>#N/A</v>
      </c>
      <c r="M94" s="1" t="e">
        <f ca="1"/>
        <v>#N/A</v>
      </c>
      <c r="U94" t="str">
        <f>'Translate&amp;Prices&amp;Logo'!$B$35</f>
        <v>Verona brúsená - maximálna odporúčaná dĺžka profilu 2500 mm</v>
      </c>
      <c r="AJ94" s="1">
        <v>20</v>
      </c>
    </row>
    <row r="95" spans="5:72" ht="14.85" hidden="1" customHeight="1">
      <c r="E95" s="34" t="e">
        <f ca="1"/>
        <v>#N/A</v>
      </c>
      <c r="I95" s="1" t="e">
        <f ca="1"/>
        <v>#N/A</v>
      </c>
      <c r="M95" s="1" t="e">
        <f ca="1"/>
        <v>#N/A</v>
      </c>
      <c r="U95" t="str">
        <f>'Translate&amp;Prices&amp;Logo'!$B$37</f>
        <v>Verona čierna mat - maximálna odporúčaná dĺžka profilu 2500 mm</v>
      </c>
      <c r="AJ95" s="1">
        <v>20</v>
      </c>
    </row>
    <row r="96" spans="5:72" ht="14.85" hidden="1" customHeight="1">
      <c r="E96" s="34" t="e">
        <f ca="1"/>
        <v>#N/A</v>
      </c>
      <c r="I96" s="1" t="e">
        <f ca="1"/>
        <v>#N/A</v>
      </c>
      <c r="M96" s="1" t="e">
        <f ca="1"/>
        <v>#N/A</v>
      </c>
      <c r="U96" t="str">
        <f>'Translate&amp;Prices&amp;Logo'!$B$36</f>
        <v>Verona čierna lesk - maximálna odporúčaná dĺžka profilu 2500 mm</v>
      </c>
      <c r="AJ96" s="1">
        <v>20</v>
      </c>
    </row>
    <row r="97" spans="5:36" ht="14.85" hidden="1" customHeight="1">
      <c r="E97" s="34" t="e">
        <f ca="1"/>
        <v>#N/A</v>
      </c>
      <c r="I97" s="1" t="e">
        <f ca="1"/>
        <v>#N/A</v>
      </c>
      <c r="M97" s="1" t="e">
        <f ca="1"/>
        <v>#N/A</v>
      </c>
      <c r="U97" t="str">
        <f>'Translate&amp;Prices&amp;Logo'!$B$38</f>
        <v>Verona hnědá - maximálna odporúčaná dĺžka profilu 2500 mm</v>
      </c>
      <c r="AJ97" s="1">
        <v>20</v>
      </c>
    </row>
    <row r="98" spans="5:36" ht="14.85" hidden="1" customHeight="1">
      <c r="E98" s="34" t="e">
        <f ca="1"/>
        <v>#N/A</v>
      </c>
      <c r="I98" s="1" t="e">
        <f ca="1"/>
        <v>#N/A</v>
      </c>
      <c r="M98" s="1" t="e">
        <f ca="1"/>
        <v>#N/A</v>
      </c>
      <c r="U98" t="str">
        <f>'Translate&amp;Prices&amp;Logo'!$B$39</f>
        <v>Verona champagne - maximálna odporúčaná dĺžka profilu 2500 mm</v>
      </c>
      <c r="AJ98" s="1">
        <v>20</v>
      </c>
    </row>
    <row r="99" spans="5:36" ht="14.85" hidden="1" customHeight="1">
      <c r="E99" s="34" t="e">
        <f ca="1"/>
        <v>#N/A</v>
      </c>
      <c r="I99" s="1" t="e">
        <f ca="1"/>
        <v>#N/A</v>
      </c>
      <c r="M99" s="1" t="e">
        <f ca="1"/>
        <v>#N/A</v>
      </c>
      <c r="U99" t="str">
        <f>'Translate&amp;Prices&amp;Logo'!$B$40</f>
        <v>Verona nerez brúsená - maximálna odporúčaná dĺžka profilu 2500 mm</v>
      </c>
      <c r="AJ99" s="1">
        <v>20</v>
      </c>
    </row>
    <row r="100" spans="5:36" ht="14.85" hidden="1" customHeight="1">
      <c r="E100" s="34" t="e">
        <f ca="1"/>
        <v>#N/A</v>
      </c>
      <c r="I100" s="1" t="e">
        <f ca="1"/>
        <v>#N/A</v>
      </c>
      <c r="M100" s="1" t="e">
        <f ca="1"/>
        <v>#N/A</v>
      </c>
      <c r="U100" t="str">
        <f>'Translate&amp;Prices&amp;Logo'!$B$41</f>
        <v>Verona svetlá nerez brúsená Acier - maximálna odporúčaná dĺžka profilu 2500 mm</v>
      </c>
      <c r="AJ100" s="1">
        <v>45</v>
      </c>
    </row>
    <row r="101" spans="5:36" ht="14.85" hidden="1" customHeight="1">
      <c r="E101" s="34"/>
      <c r="U101" t="str">
        <f>'Translate&amp;Prices&amp;Logo'!$B$62</f>
        <v>Verona Ivory mat - maximálna odporúčaná dĺžka profilu 2150 mm</v>
      </c>
      <c r="AJ101" s="1">
        <v>45</v>
      </c>
    </row>
    <row r="102" spans="5:36" ht="14.85" hidden="1" customHeight="1">
      <c r="E102" s="34"/>
      <c r="U102" t="str">
        <f>'Translate&amp;Prices&amp;Logo'!$B$65</f>
        <v>Verona kašmír - maximálna odporúčaná dĺžka profilu 2150 mm</v>
      </c>
      <c r="AJ102" s="1">
        <v>45</v>
      </c>
    </row>
    <row r="103" spans="5:36" ht="14.85" hidden="1" customHeight="1">
      <c r="E103" s="34"/>
      <c r="U103" t="str">
        <f>'Translate&amp;Prices&amp;Logo'!$B$24</f>
        <v>Verona zlatá - maximálna odporúčaná dĺžka profilu 2150 mm</v>
      </c>
      <c r="AJ103" s="1">
        <v>45</v>
      </c>
    </row>
    <row r="104" spans="5:36" ht="14.85" hidden="1" customHeight="1">
      <c r="E104" s="34"/>
      <c r="U104" t="str">
        <f>'Translate&amp;Prices&amp;Logo'!$B$56</f>
        <v>Verona zlatá brúsená - maximálna odporúčaná dĺžka profilu 2150 mm</v>
      </c>
      <c r="AJ104" s="1">
        <v>45</v>
      </c>
    </row>
    <row r="105" spans="5:36" ht="14.85" hidden="1" customHeight="1">
      <c r="E105" s="34"/>
      <c r="U105" t="str">
        <f>'Translate&amp;Prices&amp;Logo'!$B$43</f>
        <v>Vivaro (elox.) - maximálna odporúčaná dĺžka profilu 2500 mm</v>
      </c>
      <c r="AJ105" s="1">
        <v>45</v>
      </c>
    </row>
    <row r="106" spans="5:36" ht="14.85" hidden="1" customHeight="1">
      <c r="U106" t="str">
        <f>'Translate&amp;Prices&amp;Logo'!$B$44</f>
        <v>Vivaro čierne mat - maximálna odporúčaná dĺžka profilu 2500 mm</v>
      </c>
      <c r="AJ106" s="1">
        <v>45</v>
      </c>
    </row>
    <row r="107" spans="5:36" ht="14.85" hidden="1" customHeight="1">
      <c r="U107" t="str">
        <f>'Translate&amp;Prices&amp;Logo'!$B$46</f>
        <v>Vivaro tmavá nerez br. (inox lija) - maximálna odporúčaná dĺžka profilu 2500 mm</v>
      </c>
      <c r="AJ107" s="1">
        <v>20</v>
      </c>
    </row>
    <row r="108" spans="5:36" ht="14.85" hidden="1" customHeight="1">
      <c r="U108" t="str">
        <f>'Translate&amp;Prices&amp;Logo'!$B$47</f>
        <v>Vivaro biela matt RAL 9003 - maximálna odporúčaná dĺžka profilu 2500 mm</v>
      </c>
      <c r="AJ108" s="1">
        <v>20</v>
      </c>
    </row>
    <row r="109" spans="5:36" ht="14.85" hidden="1" customHeight="1">
      <c r="U109" t="str">
        <f>'Translate&amp;Prices&amp;Logo'!$B$48</f>
        <v>Vivaro biela lesk RAL 9003 - maximálna odporúčaná dĺžka profilu 2500 mm</v>
      </c>
      <c r="AJ109" s="1">
        <v>27</v>
      </c>
    </row>
    <row r="110" spans="5:36" ht="14.85" hidden="1" customHeight="1">
      <c r="U110" t="str">
        <f>'Translate&amp;Prices&amp;Logo'!$B$31</f>
        <v>Vivaro zlatá - maximálna odporúčaná dĺžka profilu 2150 mm</v>
      </c>
      <c r="AJ110" s="1">
        <v>27</v>
      </c>
    </row>
    <row r="111" spans="5:36" ht="14.85" hidden="1" customHeight="1">
      <c r="U111" t="str">
        <f>'Translate&amp;Prices&amp;Logo'!$B$57</f>
        <v>Vivaro zlatá brúsená - maximálna odporúčaná dĺžka profilu 2150 mm</v>
      </c>
      <c r="AJ111" s="1">
        <v>27</v>
      </c>
    </row>
    <row r="112" spans="5:36" ht="14.85" hidden="1" customHeight="1">
      <c r="U112" t="str">
        <f>'Translate&amp;Prices&amp;Logo'!$B$80</f>
        <v>Rocca elox (Vľavo a vpravo) + Varna elox (Hore a dole)</v>
      </c>
      <c r="AJ112" s="1">
        <v>27</v>
      </c>
    </row>
    <row r="113" spans="21:21" ht="14.85" hidden="1" customHeight="1">
      <c r="U113" t="str">
        <f>'Translate&amp;Prices&amp;Logo'!$B$81</f>
        <v>Rocca čierna (Vľavo a vpravo) + Varna čierna (Hore a dole)</v>
      </c>
    </row>
    <row r="114" spans="21:21" ht="14.85" hidden="1" customHeight="1">
      <c r="U114" t="str">
        <f>'Translate&amp;Prices&amp;Logo'!$B$71</f>
        <v>ROMA čierna mat - maximálna odporúčaná dĺžka profilu 2696 mm</v>
      </c>
    </row>
    <row r="115" spans="21:21" ht="14.85" hidden="1" customHeight="1">
      <c r="U115" t="str">
        <f>'Translate&amp;Prices&amp;Logo'!$B$72</f>
        <v>ROMA champagne mat - maximálna odporúčaná dĺžka profilu 2696 mm</v>
      </c>
    </row>
    <row r="116" spans="21:21" ht="14.85" hidden="1" customHeight="1">
      <c r="U116" t="str">
        <f>'Translate&amp;Prices&amp;Logo'!$B$73</f>
        <v>ROMA GRIP čierna mat - maximálna odporúčaná dĺžka profilu 2696 mm</v>
      </c>
    </row>
    <row r="117" spans="21:21" ht="14.85" hidden="1" customHeight="1">
      <c r="U117" t="str">
        <f>'Translate&amp;Prices&amp;Logo'!$B$74</f>
        <v>ROMA GRIP champagne mat - maximálna odporúčaná dĺžka profilu 2696 mm</v>
      </c>
    </row>
  </sheetData>
  <sheetProtection algorithmName="SHA-512" hashValue="vcNfsIIaWW8KnbzqnGW8OO31YXoahM6x4ZF54X1Byyv/+/mxaGwQMdSXTt44K1f1Kg7U7O+SUsTtrBoSmpW9PQ==" saltValue="ZLY212yk+Rb1UIedqLutb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176" priority="16">
      <formula>$I$17="Dostawa na adres"</formula>
    </cfRule>
  </conditionalFormatting>
  <conditionalFormatting sqref="H19">
    <cfRule type="expression" dxfId="174" priority="15">
      <formula>I17="Dostawa na adres"</formula>
    </cfRule>
  </conditionalFormatting>
  <conditionalFormatting sqref="K20">
    <cfRule type="expression" dxfId="172" priority="694">
      <formula>#REF!="Dostawa na adres"</formula>
    </cfRule>
  </conditionalFormatting>
  <conditionalFormatting sqref="K19:L19 I19:J21 M19:N21 K21:L21">
    <cfRule type="expression" dxfId="171" priority="14">
      <formula>I17="Dostawa na adres"</formula>
    </cfRule>
  </conditionalFormatting>
  <conditionalFormatting sqref="L20">
    <cfRule type="expression" dxfId="170" priority="693">
      <formula>K18="Dostawa na adres"</formula>
    </cfRule>
  </conditionalFormatting>
  <conditionalFormatting sqref="S37">
    <cfRule type="expression" dxfId="169" priority="9">
      <formula>I17="Dostawa na adres"</formula>
    </cfRule>
  </conditionalFormatting>
  <conditionalFormatting sqref="S39:AA47">
    <cfRule type="expression" dxfId="168" priority="695">
      <formula>$AP$37=1</formula>
    </cfRule>
  </conditionalFormatting>
  <conditionalFormatting sqref="V37">
    <cfRule type="expression" dxfId="167" priority="10">
      <formula>I17="Dostawa na adres"</formula>
    </cfRule>
  </conditionalFormatting>
  <conditionalFormatting sqref="W37">
    <cfRule type="expression" dxfId="166" priority="8">
      <formula>I17="Dostawa na adres"</formula>
    </cfRule>
  </conditionalFormatting>
  <conditionalFormatting sqref="AA37">
    <cfRule type="expression" dxfId="165" priority="7">
      <formula>I17="Dostawa na adres"</formula>
    </cfRule>
  </conditionalFormatting>
  <conditionalFormatting sqref="AC24:AE24 AC26:AE26 AC28:AE28 AC30:AE30 AC32:AE32 AC34:AE34">
    <cfRule type="cellIs" dxfId="164" priority="34" operator="equal">
      <formula>0</formula>
    </cfRule>
  </conditionalFormatting>
  <conditionalFormatting sqref="AF24 AF26 AF28 AF30 AF32 AF34">
    <cfRule type="expression" dxfId="163" priority="227">
      <formula>$AG24&gt;0</formula>
    </cfRule>
  </conditionalFormatting>
  <conditionalFormatting sqref="AK24">
    <cfRule type="cellIs" dxfId="162" priority="30" operator="equal">
      <formula>0</formula>
    </cfRule>
  </conditionalFormatting>
  <conditionalFormatting sqref="AK26">
    <cfRule type="cellIs" dxfId="161" priority="29" operator="equal">
      <formula>0</formula>
    </cfRule>
  </conditionalFormatting>
  <conditionalFormatting sqref="AK28">
    <cfRule type="cellIs" dxfId="160" priority="28" operator="equal">
      <formula>0</formula>
    </cfRule>
  </conditionalFormatting>
  <conditionalFormatting sqref="AK30">
    <cfRule type="cellIs" dxfId="159" priority="27" operator="equal">
      <formula>0</formula>
    </cfRule>
  </conditionalFormatting>
  <conditionalFormatting sqref="AK32">
    <cfRule type="cellIs" dxfId="158" priority="26" operator="equal">
      <formula>0</formula>
    </cfRule>
  </conditionalFormatting>
  <conditionalFormatting sqref="AK34">
    <cfRule type="cellIs" dxfId="157" priority="25" operator="equal">
      <formula>0</formula>
    </cfRule>
  </conditionalFormatting>
  <conditionalFormatting sqref="AK37">
    <cfRule type="cellIs" dxfId="156" priority="33" operator="equal">
      <formula>0</formula>
    </cfRule>
  </conditionalFormatting>
  <conditionalFormatting sqref="AK39">
    <cfRule type="cellIs" dxfId="155" priority="31" operator="equal">
      <formula>0</formula>
    </cfRule>
  </conditionalFormatting>
  <conditionalFormatting sqref="BT30:BV30">
    <cfRule type="cellIs" dxfId="154"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topLeftCell="D46" workbookViewId="0">
      <selection activeCell="L67" sqref="L67"/>
    </sheetView>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16" t="s">
        <v>4361</v>
      </c>
      <c r="V11" s="417">
        <v>800</v>
      </c>
      <c r="W11" s="417">
        <v>1400</v>
      </c>
      <c r="Y11" s="417">
        <v>2300</v>
      </c>
      <c r="Z11" s="417">
        <v>2750</v>
      </c>
    </row>
    <row r="12" spans="20:26" ht="15"/>
    <row r="13" spans="20:26" ht="15">
      <c r="T13" s="416" t="s">
        <v>4361</v>
      </c>
      <c r="V13" s="417">
        <v>800</v>
      </c>
      <c r="W13" s="417">
        <v>800</v>
      </c>
      <c r="Y13" s="532">
        <v>750</v>
      </c>
      <c r="Z13" s="533"/>
    </row>
    <row r="14" spans="20:26" ht="16.5" customHeight="1"/>
    <row r="15" spans="20:26" ht="15"/>
    <row r="16" spans="20:26" ht="18.75" customHeight="1"/>
    <row r="17" spans="3:36" ht="15.75" thickBot="1"/>
    <row r="18" spans="3:36" ht="20.25" customHeight="1">
      <c r="T18" s="442" t="s">
        <v>4362</v>
      </c>
      <c r="U18" s="407"/>
      <c r="V18" s="407"/>
      <c r="W18" s="407"/>
      <c r="X18" s="407"/>
      <c r="Y18" s="407"/>
      <c r="Z18" s="407"/>
      <c r="AB18" s="6">
        <f>IF(Posuv!I17="Dostawa na adres",Hlavní!V39,0)</f>
        <v>0</v>
      </c>
    </row>
    <row r="19" spans="3:36" ht="14.85" customHeight="1" thickBot="1">
      <c r="T19" s="443" t="str">
        <f>J25</f>
        <v>Min</v>
      </c>
      <c r="U19" s="407"/>
      <c r="V19" s="407"/>
      <c r="W19" s="407"/>
      <c r="X19" s="407"/>
      <c r="Y19" s="407"/>
      <c r="Z19" s="407"/>
    </row>
    <row r="20" spans="3:36" s="296" customFormat="1" ht="11.45" customHeight="1">
      <c r="T20" s="416" t="s">
        <v>4363</v>
      </c>
      <c r="U20" s="417"/>
      <c r="V20" s="476">
        <v>35</v>
      </c>
      <c r="W20" s="476">
        <v>35</v>
      </c>
      <c r="X20" s="417"/>
      <c r="Y20" s="476">
        <v>288</v>
      </c>
      <c r="Z20" s="476">
        <v>332</v>
      </c>
    </row>
    <row r="21" spans="3:36" ht="14.85" customHeight="1">
      <c r="T21" s="355"/>
      <c r="U21" s="356"/>
      <c r="V21" s="356" t="s">
        <v>4364</v>
      </c>
      <c r="W21" s="356" t="s">
        <v>4365</v>
      </c>
      <c r="Y21" s="357" t="s">
        <v>4366</v>
      </c>
      <c r="Z21" s="357" t="s">
        <v>4367</v>
      </c>
    </row>
    <row r="22" spans="3:36" ht="14.85" customHeight="1">
      <c r="T22" s="360" t="s">
        <v>4369</v>
      </c>
      <c r="U22" s="444"/>
      <c r="V22" s="361">
        <v>3</v>
      </c>
      <c r="W22" s="361">
        <v>2</v>
      </c>
      <c r="Y22" s="534">
        <v>20</v>
      </c>
      <c r="Z22" s="715"/>
    </row>
    <row r="23" spans="3:36" ht="15.75" customHeight="1"/>
    <row r="24" spans="3:36" ht="14.85" customHeight="1">
      <c r="C24" s="1"/>
      <c r="D24" s="1"/>
      <c r="E24" s="1"/>
      <c r="F24" s="1"/>
      <c r="G24" s="1"/>
      <c r="H24" s="1"/>
      <c r="I24" s="12"/>
      <c r="J24" s="12"/>
      <c r="K24" s="1"/>
      <c r="L24" s="1"/>
      <c r="M24" s="1"/>
      <c r="N24" s="1"/>
      <c r="O24" s="1"/>
      <c r="P24" s="1"/>
      <c r="R24" s="506" t="s">
        <v>4419</v>
      </c>
      <c r="S24" s="1"/>
    </row>
    <row r="25" spans="3:36" ht="14.85" customHeight="1">
      <c r="I25" s="303" t="s">
        <v>4416</v>
      </c>
      <c r="J25" s="441" t="s">
        <v>4417</v>
      </c>
      <c r="K25" s="1" t="s">
        <v>4374</v>
      </c>
      <c r="L25" s="534" t="s">
        <v>4418</v>
      </c>
      <c r="M25" s="535"/>
      <c r="N25" s="535"/>
      <c r="O25" s="535"/>
      <c r="P25" s="536"/>
      <c r="Q25" s="8"/>
      <c r="R25" s="506"/>
      <c r="S25" s="1"/>
      <c r="AC25" s="12"/>
      <c r="AD25" s="12" t="s">
        <v>4374</v>
      </c>
      <c r="AE25" s="12" t="s">
        <v>4407</v>
      </c>
    </row>
    <row r="26" spans="3:36" ht="14.85" customHeight="1">
      <c r="D26" s="1"/>
      <c r="E26" s="1"/>
      <c r="F26" s="8" t="s">
        <v>3577</v>
      </c>
      <c r="G26" s="8">
        <f>Posuv!E26</f>
        <v>0</v>
      </c>
      <c r="H26" s="8">
        <f>Posuv!E28</f>
        <v>0</v>
      </c>
      <c r="I26" s="303">
        <f>MAX(G26:H26)</f>
        <v>0</v>
      </c>
      <c r="J26" s="441">
        <f>MIN(G26:H26)</f>
        <v>0</v>
      </c>
      <c r="K26" s="1">
        <f>Posuv!E30</f>
        <v>0</v>
      </c>
      <c r="L26" s="441"/>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8" t="s">
        <v>4376</v>
      </c>
      <c r="AD26" s="12">
        <f>Posuv!E30</f>
        <v>0</v>
      </c>
      <c r="AE26" s="432">
        <f>IF(Posuv!E30&gt;0,IF(Posuv!E39&lt;&gt;"",1,2),0)</f>
        <v>0</v>
      </c>
      <c r="AG26" s="6">
        <f>IF(AD26&gt;0,1,0)</f>
        <v>0</v>
      </c>
    </row>
    <row r="27" spans="3:36" ht="14.85" customHeight="1">
      <c r="D27" s="1"/>
      <c r="E27" s="1"/>
      <c r="F27" s="8" t="s">
        <v>3578</v>
      </c>
      <c r="G27" s="8">
        <f>Posuv!I26</f>
        <v>0</v>
      </c>
      <c r="H27" s="8">
        <f>Posuv!I28</f>
        <v>0</v>
      </c>
      <c r="I27" s="303">
        <f t="shared" ref="I27:I28" si="0">MAX(G27:H27)</f>
        <v>0</v>
      </c>
      <c r="J27" s="441">
        <f t="shared" ref="J27:J28" si="1">MIN(G27:H27)</f>
        <v>0</v>
      </c>
      <c r="K27" s="1">
        <f>Posuv!I30</f>
        <v>0</v>
      </c>
      <c r="L27" s="441"/>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8" t="s">
        <v>4377</v>
      </c>
      <c r="AD27" s="12">
        <f>Posuv!I30</f>
        <v>0</v>
      </c>
      <c r="AE27" s="432">
        <f>IF(Posuv!I30&gt;0,IF(Posuv!I39&lt;&gt;"",1,2),0)</f>
        <v>0</v>
      </c>
      <c r="AG27" s="6">
        <f t="shared" ref="AG27:AG28" si="7">IF(AD27&gt;0,1,0)</f>
        <v>0</v>
      </c>
    </row>
    <row r="28" spans="3:36" ht="14.85" customHeight="1">
      <c r="D28" s="1"/>
      <c r="E28" s="1"/>
      <c r="F28" s="8" t="s">
        <v>3579</v>
      </c>
      <c r="G28" s="8">
        <f>Posuv!M26</f>
        <v>0</v>
      </c>
      <c r="H28" s="303">
        <f>Posuv!M28</f>
        <v>0</v>
      </c>
      <c r="I28" s="303">
        <f t="shared" si="0"/>
        <v>0</v>
      </c>
      <c r="J28" s="441">
        <f t="shared" si="1"/>
        <v>0</v>
      </c>
      <c r="K28" s="1">
        <f>Posuv!M30</f>
        <v>0</v>
      </c>
      <c r="L28" s="441"/>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8" t="s">
        <v>4378</v>
      </c>
      <c r="AD28" s="12">
        <f>Posuv!M30</f>
        <v>0</v>
      </c>
      <c r="AE28" s="432">
        <f>IF(Posuv!M30&gt;0,IF(Posuv!M39&lt;&gt;"",1,2),0)</f>
        <v>0</v>
      </c>
      <c r="AG28" s="6">
        <f t="shared" si="7"/>
        <v>0</v>
      </c>
    </row>
    <row r="29" spans="3:36" ht="14.85" customHeight="1">
      <c r="D29" s="1"/>
      <c r="E29" s="1"/>
      <c r="F29" s="401"/>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45">
        <f>IF(AE29=AG29,1,IF(AG29=(AE29/2),2,0))</f>
        <v>1</v>
      </c>
      <c r="AI29" s="445">
        <v>0</v>
      </c>
      <c r="AJ29" s="6" t="s">
        <v>4410</v>
      </c>
    </row>
    <row r="30" spans="3:36" ht="15">
      <c r="D30" s="1"/>
      <c r="E30" s="1"/>
      <c r="F30" s="401"/>
      <c r="G30" s="1"/>
      <c r="H30" s="1"/>
      <c r="I30" s="12"/>
      <c r="J30" s="12"/>
      <c r="K30" s="1"/>
      <c r="L30" s="1"/>
      <c r="M30" s="1"/>
      <c r="N30" s="1"/>
      <c r="O30" s="1"/>
      <c r="P30" s="1"/>
      <c r="Q30" s="1"/>
      <c r="R30" s="1"/>
      <c r="S30" s="1"/>
      <c r="T30" s="1"/>
      <c r="U30" s="1"/>
      <c r="V30" s="1"/>
      <c r="W30" s="1"/>
      <c r="X30" s="426"/>
      <c r="Y30" s="426"/>
      <c r="Z30" s="426"/>
      <c r="AI30" s="445">
        <v>1</v>
      </c>
      <c r="AJ30" s="6" t="s">
        <v>4408</v>
      </c>
    </row>
    <row r="31" spans="3:36" ht="14.85" customHeight="1">
      <c r="C31" s="1"/>
      <c r="D31" s="1"/>
      <c r="E31" s="1"/>
      <c r="F31" s="1"/>
      <c r="G31" s="1"/>
      <c r="H31" s="1"/>
      <c r="I31" s="12"/>
      <c r="J31" s="12"/>
      <c r="K31" s="1"/>
      <c r="L31" s="1"/>
      <c r="M31" s="1"/>
      <c r="N31" s="1"/>
      <c r="O31" s="1"/>
      <c r="P31" s="1"/>
      <c r="Q31" s="1"/>
      <c r="R31" s="1"/>
      <c r="S31" s="718" t="s">
        <v>4424</v>
      </c>
      <c r="T31" s="1">
        <v>31</v>
      </c>
      <c r="U31" s="1"/>
      <c r="V31" s="1">
        <f t="shared" ref="V31" si="8">SUM(V26:V28)</f>
        <v>0</v>
      </c>
      <c r="W31" s="1">
        <f>SUM(W26:W28)</f>
        <v>0</v>
      </c>
      <c r="X31" s="1"/>
      <c r="AA31" s="6" t="s">
        <v>4422</v>
      </c>
      <c r="AI31" s="445">
        <v>2</v>
      </c>
      <c r="AJ31" s="6" t="s">
        <v>4409</v>
      </c>
    </row>
    <row r="32" spans="3:36" ht="14.85" customHeight="1">
      <c r="C32" s="1"/>
      <c r="D32" s="1"/>
      <c r="E32" s="1"/>
      <c r="F32" s="1"/>
      <c r="G32" s="1"/>
      <c r="H32" s="1"/>
      <c r="I32" s="12"/>
      <c r="J32" s="12"/>
      <c r="K32" s="1"/>
      <c r="L32" s="1"/>
      <c r="M32" s="1"/>
      <c r="N32" s="1"/>
      <c r="O32" s="1"/>
      <c r="P32" s="1"/>
      <c r="Q32" s="1"/>
      <c r="R32" s="1"/>
      <c r="S32" s="718"/>
      <c r="T32" s="1">
        <v>32</v>
      </c>
      <c r="U32" s="1"/>
      <c r="V32" s="1">
        <f>CEILING(IF(V$31=0,0,IF(V$31&lt;3,1,V$31/V$22)),1)</f>
        <v>0</v>
      </c>
      <c r="W32" s="1">
        <f t="shared" ref="W32" si="9">FLOOR(IF(W$31=0,0,IF(W$31&lt;3,1,W$31/W$22)),1)</f>
        <v>0</v>
      </c>
      <c r="X32" s="1"/>
      <c r="AA32" s="6" t="s">
        <v>4420</v>
      </c>
    </row>
    <row r="33" spans="3:29" ht="14.85" customHeight="1">
      <c r="C33" s="1"/>
      <c r="D33" s="1"/>
      <c r="E33" s="1"/>
      <c r="G33" s="1"/>
      <c r="H33" s="1"/>
      <c r="I33" s="12"/>
      <c r="J33" s="1"/>
      <c r="K33" s="1"/>
      <c r="L33" s="1"/>
      <c r="M33" s="1"/>
      <c r="N33" s="1"/>
      <c r="O33" s="1"/>
      <c r="P33" s="1"/>
      <c r="Q33" s="1"/>
      <c r="R33" s="1"/>
      <c r="S33" s="718"/>
      <c r="T33" s="1">
        <v>33</v>
      </c>
      <c r="U33" s="1"/>
      <c r="V33" s="1"/>
      <c r="W33" s="1">
        <f>IF(W32=0,0,IF(W31=1,1,W31-(W32*W22)))</f>
        <v>0</v>
      </c>
      <c r="X33" s="1"/>
      <c r="AA33" s="6" t="s">
        <v>4421</v>
      </c>
    </row>
    <row r="34" spans="3:29" ht="14.85" customHeight="1">
      <c r="C34" s="1"/>
      <c r="D34" s="1"/>
      <c r="E34" s="1"/>
      <c r="F34" s="1"/>
      <c r="G34" s="1"/>
      <c r="H34" s="1"/>
      <c r="I34" s="12"/>
      <c r="J34" s="12"/>
      <c r="K34" s="1"/>
      <c r="L34" s="1"/>
      <c r="M34" s="1"/>
      <c r="N34" s="1"/>
      <c r="O34" s="1"/>
      <c r="P34" s="1"/>
      <c r="Q34" s="1"/>
      <c r="R34" s="1"/>
      <c r="S34" s="718"/>
      <c r="T34" s="1">
        <v>34</v>
      </c>
      <c r="V34" s="6">
        <f>IF(V31&gt;0,IF(W33=0,V31,IF(W33=V31,0,IF(W33&gt;V31,W33-V31,V31-W33))),0)</f>
        <v>0</v>
      </c>
      <c r="W34" s="6">
        <f>IF(W31=0,0,W31+W33)</f>
        <v>0</v>
      </c>
      <c r="X34" s="1"/>
      <c r="AA34" s="6" t="s">
        <v>4402</v>
      </c>
    </row>
    <row r="35" spans="3:29" ht="14.85" customHeight="1">
      <c r="C35" s="1"/>
      <c r="D35" s="1"/>
      <c r="E35" s="1"/>
      <c r="F35" s="1"/>
      <c r="G35" s="1"/>
      <c r="H35" s="1"/>
      <c r="I35" s="12"/>
      <c r="J35" s="12"/>
      <c r="K35" s="1"/>
      <c r="L35" s="1"/>
      <c r="M35" s="1"/>
      <c r="N35" s="1"/>
      <c r="O35" s="1"/>
      <c r="P35" s="1"/>
      <c r="Q35" s="1"/>
      <c r="R35" s="1"/>
      <c r="S35" s="718"/>
      <c r="T35" s="1">
        <v>35</v>
      </c>
      <c r="U35" s="1"/>
      <c r="V35" s="1">
        <f>IF(V31&gt;0,CEILING(V34/V22,1),0)</f>
        <v>0</v>
      </c>
      <c r="W35" s="1">
        <f>CEILING(W34/W22,1)</f>
        <v>0</v>
      </c>
      <c r="X35" s="1"/>
      <c r="AA35" s="6" t="s">
        <v>4451</v>
      </c>
    </row>
    <row r="36" spans="3:29" ht="28.9" customHeight="1">
      <c r="C36" s="1"/>
      <c r="D36" s="1"/>
      <c r="E36" s="1"/>
      <c r="F36" s="1"/>
      <c r="G36" s="1"/>
      <c r="H36" s="1"/>
      <c r="I36" s="12"/>
      <c r="J36" s="12"/>
      <c r="K36" s="1"/>
      <c r="L36" s="1"/>
      <c r="M36" s="1"/>
      <c r="N36" s="1"/>
      <c r="O36" s="1"/>
      <c r="P36" s="1"/>
      <c r="Q36" s="1"/>
      <c r="R36" s="1"/>
      <c r="S36" s="718"/>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18"/>
      <c r="T37" s="1">
        <v>37</v>
      </c>
      <c r="U37" s="446"/>
      <c r="V37" s="464">
        <f>IF(V31=0,0,V35*V20)</f>
        <v>0</v>
      </c>
      <c r="W37" s="464">
        <f>IF(W31=0,0,W35*W20)</f>
        <v>0</v>
      </c>
      <c r="X37" s="447"/>
      <c r="Y37" s="449"/>
      <c r="Z37" s="465">
        <f>V37+W37</f>
        <v>0</v>
      </c>
      <c r="AA37" s="450" t="s">
        <v>4427</v>
      </c>
      <c r="AB37" s="450"/>
    </row>
    <row r="38" spans="3:29" ht="14.85" customHeight="1">
      <c r="C38" s="1"/>
      <c r="D38" s="1"/>
      <c r="E38" s="1"/>
      <c r="F38" s="1"/>
      <c r="G38" s="1"/>
      <c r="H38" s="1"/>
      <c r="I38" s="12"/>
      <c r="J38" s="12"/>
      <c r="K38" s="1"/>
      <c r="L38" s="1"/>
      <c r="M38" s="1"/>
      <c r="N38" s="1"/>
      <c r="O38" s="1"/>
      <c r="P38" s="1"/>
      <c r="Q38" s="1"/>
      <c r="R38" s="1"/>
      <c r="S38" s="717" t="s">
        <v>4423</v>
      </c>
      <c r="T38" s="1" t="s">
        <v>4389</v>
      </c>
      <c r="U38" s="1"/>
      <c r="W38" s="1"/>
      <c r="X38" s="1"/>
      <c r="AA38" s="6" t="s">
        <v>4423</v>
      </c>
      <c r="AC38" s="6">
        <v>38</v>
      </c>
    </row>
    <row r="39" spans="3:29" ht="14.85" customHeight="1">
      <c r="C39" s="1"/>
      <c r="D39" s="1"/>
      <c r="E39" s="1"/>
      <c r="F39" s="1"/>
      <c r="G39" s="1"/>
      <c r="H39" s="1"/>
      <c r="I39" s="12"/>
      <c r="J39" s="12"/>
      <c r="K39" s="1"/>
      <c r="L39" s="1"/>
      <c r="M39" s="1"/>
      <c r="N39" s="1"/>
      <c r="O39" s="1"/>
      <c r="P39" s="1"/>
      <c r="Q39" s="1"/>
      <c r="R39" s="1"/>
      <c r="S39" s="717"/>
      <c r="T39" s="1" t="s">
        <v>4430</v>
      </c>
      <c r="U39" s="1"/>
      <c r="V39" s="1"/>
      <c r="W39" s="1"/>
      <c r="Y39" s="6">
        <f t="shared" ref="Y39" si="10">SUM(Y26:Y28)</f>
        <v>0</v>
      </c>
      <c r="Z39" s="6">
        <f>SUM(Z26:Z28)</f>
        <v>0</v>
      </c>
      <c r="AA39" s="6" t="s">
        <v>4422</v>
      </c>
      <c r="AC39" s="6">
        <v>39</v>
      </c>
    </row>
    <row r="40" spans="3:29" ht="15">
      <c r="S40" s="717"/>
      <c r="T40" s="6">
        <v>40</v>
      </c>
      <c r="Z40" s="6">
        <f>IF(Z39=0,0,$Y$22-Z39)</f>
        <v>0</v>
      </c>
      <c r="AA40" s="6" t="s">
        <v>4389</v>
      </c>
      <c r="AC40" s="6">
        <v>40</v>
      </c>
    </row>
    <row r="41" spans="3:29" ht="15.75" hidden="1" customHeight="1">
      <c r="S41" s="717"/>
    </row>
    <row r="42" spans="3:29" ht="15.75" hidden="1" customHeight="1">
      <c r="S42" s="717"/>
    </row>
    <row r="43" spans="3:29" ht="15.75" hidden="1" customHeight="1">
      <c r="S43" s="717"/>
    </row>
    <row r="44" spans="3:29" ht="15.75" hidden="1" customHeight="1">
      <c r="S44" s="717"/>
    </row>
    <row r="45" spans="3:29" ht="15.75" hidden="1" customHeight="1">
      <c r="S45" s="717"/>
    </row>
    <row r="46" spans="3:29" ht="15.75" customHeight="1">
      <c r="S46" s="717"/>
      <c r="U46" s="477"/>
      <c r="V46" s="477"/>
      <c r="Y46" s="1">
        <f>IF(Z39=0,Y39,IF(Z40&gt;=Y39,0,Y39-Z40))</f>
        <v>0</v>
      </c>
      <c r="Z46" s="1">
        <f>IF(Z40&gt;=Y39,Y39+Z39,Z40+Z39)</f>
        <v>0</v>
      </c>
      <c r="AA46" s="6" t="s">
        <v>4402</v>
      </c>
      <c r="AC46" s="6">
        <v>46</v>
      </c>
    </row>
    <row r="47" spans="3:29" ht="14.85" customHeight="1">
      <c r="S47" s="717"/>
    </row>
    <row r="48" spans="3:29" ht="14.85" customHeight="1">
      <c r="S48" s="717"/>
      <c r="Z48" s="1"/>
    </row>
    <row r="49" spans="19:29" ht="14.85" customHeight="1">
      <c r="S49" s="717"/>
      <c r="X49" s="1"/>
      <c r="Y49" s="1"/>
    </row>
    <row r="50" spans="19:29" ht="14.85" customHeight="1">
      <c r="S50" s="717"/>
    </row>
    <row r="51" spans="19:29" ht="14.85" customHeight="1">
      <c r="S51" s="717"/>
      <c r="Y51" s="1"/>
    </row>
    <row r="52" spans="19:29" ht="14.85" customHeight="1">
      <c r="S52" s="717"/>
    </row>
    <row r="53" spans="19:29" ht="14.85" customHeight="1" thickBot="1">
      <c r="S53" s="717"/>
      <c r="Y53" s="449"/>
      <c r="Z53" s="449"/>
    </row>
    <row r="54" spans="19:29" ht="14.85" customHeight="1">
      <c r="S54" s="717"/>
      <c r="Y54" s="6">
        <f>IF(Y46&gt;0,Y20,0)</f>
        <v>0</v>
      </c>
      <c r="Z54" s="6">
        <f>IF(Z46&gt;0,Z20,0)</f>
        <v>0</v>
      </c>
      <c r="AC54" s="6">
        <v>54</v>
      </c>
    </row>
    <row r="55" spans="19:29" ht="14.85" customHeight="1" thickBot="1">
      <c r="S55" s="717"/>
      <c r="U55" s="449"/>
      <c r="V55" s="449"/>
      <c r="W55" s="449"/>
      <c r="X55" s="449"/>
      <c r="Y55" s="449"/>
      <c r="Z55" s="451">
        <f>SUM(Y54:Z54)</f>
        <v>0</v>
      </c>
      <c r="AA55" s="450" t="s">
        <v>4425</v>
      </c>
      <c r="AB55" s="450"/>
      <c r="AC55" s="6">
        <v>55</v>
      </c>
    </row>
    <row r="56" spans="19:29" ht="14.85" customHeight="1">
      <c r="S56" s="716" t="s">
        <v>4426</v>
      </c>
      <c r="V56" s="6">
        <f>V29</f>
        <v>0</v>
      </c>
      <c r="Z56" s="6">
        <f>Y29</f>
        <v>0</v>
      </c>
      <c r="AA56" s="6" t="s">
        <v>4422</v>
      </c>
      <c r="AB56" s="112"/>
      <c r="AC56" s="6">
        <v>56</v>
      </c>
    </row>
    <row r="57" spans="19:29" ht="14.85" customHeight="1">
      <c r="S57" s="716"/>
      <c r="Z57" s="6">
        <f>IF(Z55&gt;0,Y22-Z56,0)</f>
        <v>0</v>
      </c>
      <c r="AA57" s="6" t="s">
        <v>4389</v>
      </c>
      <c r="AC57" s="6">
        <v>57</v>
      </c>
    </row>
    <row r="58" spans="19:29" ht="14.85" customHeight="1">
      <c r="S58" s="716"/>
      <c r="V58" s="6">
        <f>IF(Z56=0,V56,IF(Z57&gt;=V56,0,V56-Z57))</f>
        <v>0</v>
      </c>
      <c r="Z58" s="6">
        <f>IF(Z57&gt;=V56,V56+Z56,Z57+Z56)</f>
        <v>0</v>
      </c>
      <c r="AA58" s="6" t="s">
        <v>4402</v>
      </c>
      <c r="AC58" s="6">
        <v>58</v>
      </c>
    </row>
    <row r="59" spans="19:29" ht="14.85" customHeight="1">
      <c r="S59" s="716"/>
      <c r="V59" s="445">
        <f>IF(V58&gt;0,Z37,0)</f>
        <v>0</v>
      </c>
      <c r="Z59" s="6">
        <f>IF(Z56&gt;0,Z55,0)</f>
        <v>0</v>
      </c>
    </row>
    <row r="60" spans="19:29" ht="14.85" customHeight="1" thickBot="1">
      <c r="S60" s="716"/>
      <c r="U60" s="449"/>
      <c r="V60" s="449"/>
      <c r="W60" s="449"/>
      <c r="X60" s="449"/>
      <c r="Y60" s="449"/>
      <c r="Z60" s="448">
        <f>MAX(Z59,V59)</f>
        <v>0</v>
      </c>
      <c r="AA60" s="450" t="s">
        <v>4428</v>
      </c>
      <c r="AB60" s="450"/>
      <c r="AC60" s="450"/>
    </row>
    <row r="61" spans="19:29" ht="14.85" customHeight="1">
      <c r="S61" s="452"/>
    </row>
    <row r="62" spans="19:29" ht="14.85" customHeight="1">
      <c r="S62" s="452"/>
      <c r="Z62" s="445" t="str">
        <f>IF(K29&gt;20,'kalkulace dopravy'!X3,IF(J29&lt;&gt;1,IF(AND(V29&gt;0,Y29=0),Z37,IF(AND(V29&gt;0,Y29&gt;0),Z60,IF(AND(V29=0,Y29&gt;0),Z55,""))),'kalkulace dopravy'!X4))</f>
        <v/>
      </c>
      <c r="AA62" s="450" t="s">
        <v>4429</v>
      </c>
      <c r="AB62" s="450"/>
    </row>
    <row r="63" spans="19:29" ht="14.85" customHeight="1">
      <c r="S63" s="452"/>
    </row>
    <row r="64" spans="19:29" ht="14.85" customHeight="1">
      <c r="S64" s="452"/>
    </row>
    <row r="65" spans="6:26" ht="14.85" customHeight="1">
      <c r="S65" s="452"/>
    </row>
    <row r="66" spans="6:26" ht="14.85" customHeight="1" thickBot="1"/>
    <row r="67" spans="6:26" ht="27" customHeight="1" thickBot="1">
      <c r="R67" s="456"/>
      <c r="S67" s="318"/>
      <c r="T67" s="318"/>
      <c r="U67" s="429" t="s">
        <v>3609</v>
      </c>
      <c r="V67" s="430"/>
      <c r="W67" s="431"/>
    </row>
    <row r="68" spans="6:26" ht="14.85" customHeight="1">
      <c r="R68" s="457"/>
      <c r="S68" s="427"/>
      <c r="T68" s="427"/>
      <c r="U68" s="341" t="s">
        <v>3610</v>
      </c>
      <c r="V68" s="467" t="s">
        <v>4444</v>
      </c>
      <c r="W68" s="342" t="s">
        <v>4445</v>
      </c>
    </row>
    <row r="69" spans="6:26" ht="14.85" customHeight="1">
      <c r="R69" s="10"/>
      <c r="S69" s="427"/>
      <c r="T69" s="427"/>
      <c r="U69" s="339" t="s">
        <v>3624</v>
      </c>
      <c r="V69" s="336" t="s">
        <v>4443</v>
      </c>
      <c r="W69" s="343" t="s">
        <v>4449</v>
      </c>
    </row>
    <row r="70" spans="6:26" ht="14.85" customHeight="1" thickBot="1">
      <c r="R70" s="10"/>
      <c r="S70"/>
      <c r="T70"/>
      <c r="U70" s="322" t="s">
        <v>4359</v>
      </c>
      <c r="V70" s="425" t="s">
        <v>4398</v>
      </c>
      <c r="W70" s="340" t="s">
        <v>4399</v>
      </c>
    </row>
    <row r="74" spans="6:26" ht="14.85" customHeight="1">
      <c r="S74" s="344"/>
      <c r="T74" s="344"/>
      <c r="U74" s="344"/>
      <c r="V74" s="433">
        <v>1400</v>
      </c>
      <c r="W74" s="433">
        <v>2850</v>
      </c>
    </row>
    <row r="75" spans="6:26" ht="14.85" customHeight="1">
      <c r="S75" s="344"/>
      <c r="T75" s="344"/>
      <c r="U75" s="404"/>
      <c r="V75" s="433">
        <v>0</v>
      </c>
      <c r="W75" s="433">
        <v>1401</v>
      </c>
    </row>
    <row r="76" spans="6:26" ht="14.85" customHeight="1">
      <c r="S76" s="344"/>
      <c r="T76" s="344"/>
      <c r="U76" s="478" t="s">
        <v>4363</v>
      </c>
      <c r="V76" s="434">
        <v>35</v>
      </c>
      <c r="W76" s="434">
        <v>71</v>
      </c>
    </row>
    <row r="77" spans="6:26" ht="14.85" customHeight="1">
      <c r="P77" s="6" t="str">
        <f>IF(O77&gt;0,"přebývá!","")</f>
        <v/>
      </c>
      <c r="S77" s="344"/>
      <c r="T77" s="344"/>
      <c r="U77" s="404"/>
      <c r="V77" s="435" t="s">
        <v>4394</v>
      </c>
      <c r="W77" s="435" t="s">
        <v>4395</v>
      </c>
    </row>
    <row r="78" spans="6:26" ht="14.85" customHeight="1">
      <c r="M78" s="6" t="s">
        <v>4373</v>
      </c>
      <c r="U78" s="478" t="s">
        <v>4369</v>
      </c>
      <c r="V78" s="6">
        <v>12</v>
      </c>
      <c r="W78" s="6">
        <v>6</v>
      </c>
      <c r="Z78" s="6">
        <v>78</v>
      </c>
    </row>
    <row r="79" spans="6:26" ht="14.85" customHeight="1">
      <c r="F79" s="6" t="s">
        <v>4370</v>
      </c>
      <c r="L79" s="6" t="s">
        <v>4400</v>
      </c>
      <c r="O79" s="6" t="s">
        <v>4374</v>
      </c>
      <c r="P79" s="6" t="s">
        <v>4375</v>
      </c>
      <c r="Q79" s="6" t="s">
        <v>4375</v>
      </c>
      <c r="U79" s="478" t="s">
        <v>4403</v>
      </c>
      <c r="V79" s="6">
        <f>CEILING(SUM(V80:V82)/V78,1)</f>
        <v>0</v>
      </c>
      <c r="W79" s="6">
        <f>CEILING(SUM(W80:W82)/W78,1)</f>
        <v>0</v>
      </c>
      <c r="Z79" s="6">
        <v>79</v>
      </c>
    </row>
    <row r="80" spans="6:26" ht="14.85" customHeight="1">
      <c r="F80" s="6" t="s">
        <v>4376</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4376</v>
      </c>
      <c r="V80" s="441">
        <f>IF($AB$18&lt;&gt;3,0,IFERROR((IF($M$80=V$77,$O$80,0)),0))</f>
        <v>0</v>
      </c>
      <c r="W80" s="441">
        <f t="shared" ref="W80" si="11">IF($AB$18&lt;&gt;3,0,IFERROR((IF($M$80=W$77,$O$80,0)),0))</f>
        <v>0</v>
      </c>
      <c r="X80" s="6" t="s">
        <v>4376</v>
      </c>
      <c r="Z80" s="6">
        <v>80</v>
      </c>
    </row>
    <row r="81" spans="6:26" ht="14.85" customHeight="1">
      <c r="F81" s="6" t="s">
        <v>4377</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4377</v>
      </c>
      <c r="V81" s="441">
        <f t="shared" ref="V81:W81" si="14">IF($AB$18&lt;&gt;3,0,IFERROR((IF($M$81=V$77,$O$81,0)),0))</f>
        <v>0</v>
      </c>
      <c r="W81" s="441">
        <f t="shared" si="14"/>
        <v>0</v>
      </c>
      <c r="X81" s="6" t="s">
        <v>4377</v>
      </c>
      <c r="Z81" s="6">
        <v>81</v>
      </c>
    </row>
    <row r="82" spans="6:26" ht="14.85" customHeight="1">
      <c r="F82" s="6" t="s">
        <v>4378</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4378</v>
      </c>
      <c r="V82" s="441">
        <f t="shared" ref="V82:W82" si="16">IF($AB$18&lt;&gt;3,0,IFERROR((IF($M$82=V$77,$O$82,0)),0))</f>
        <v>0</v>
      </c>
      <c r="W82" s="441">
        <f t="shared" si="16"/>
        <v>0</v>
      </c>
      <c r="X82" s="6" t="s">
        <v>4378</v>
      </c>
      <c r="Z82" s="6">
        <v>82</v>
      </c>
    </row>
    <row r="83" spans="6:26" ht="14.85" customHeight="1">
      <c r="O83" s="6">
        <f>SUM(O80:O82)</f>
        <v>0</v>
      </c>
      <c r="V83" s="6">
        <f>SUM(V80:V82)</f>
        <v>0</v>
      </c>
      <c r="W83" s="6">
        <f>SUM(W80:W82)</f>
        <v>0</v>
      </c>
      <c r="X83" s="1" t="s">
        <v>4401</v>
      </c>
      <c r="Z83" s="6">
        <v>83</v>
      </c>
    </row>
    <row r="84" spans="6:26" ht="14.85" customHeight="1">
      <c r="W84" s="6">
        <f>IF(W79&gt;0,(W78*W79-W83),0)</f>
        <v>0</v>
      </c>
      <c r="X84" s="1" t="s">
        <v>4389</v>
      </c>
      <c r="Z84" s="6">
        <v>84</v>
      </c>
    </row>
    <row r="85" spans="6:26" ht="14.85" customHeight="1">
      <c r="V85" s="6">
        <f>IF(W84=0,V83,IF(W84&gt;=V83,0,V83-W84))</f>
        <v>0</v>
      </c>
      <c r="W85" s="6">
        <f>IF(W84&gt;V83,V83+W83,W84+W83)</f>
        <v>0</v>
      </c>
      <c r="X85" s="1" t="s">
        <v>4402</v>
      </c>
      <c r="Z85" s="6">
        <v>85</v>
      </c>
    </row>
    <row r="86" spans="6:26" ht="14.85" customHeight="1">
      <c r="V86" s="6">
        <f>CEILING(V85/V78,1)</f>
        <v>0</v>
      </c>
      <c r="W86" s="6">
        <f>CEILING(W85/W78,1)</f>
        <v>0</v>
      </c>
      <c r="X86" s="1" t="s">
        <v>4404</v>
      </c>
      <c r="Z86" s="6">
        <v>86</v>
      </c>
    </row>
    <row r="87" spans="6:26" ht="14.85" customHeight="1">
      <c r="V87" s="6">
        <f>V86*V76</f>
        <v>0</v>
      </c>
      <c r="W87" s="6">
        <f>W86*W76</f>
        <v>0</v>
      </c>
      <c r="X87" s="1" t="s">
        <v>3624</v>
      </c>
      <c r="Z87" s="6">
        <v>87</v>
      </c>
    </row>
    <row r="88" spans="6:26" ht="14.85" customHeight="1">
      <c r="Z88" s="6">
        <v>88</v>
      </c>
    </row>
    <row r="89" spans="6:26" ht="14.85" customHeight="1">
      <c r="W89" s="6">
        <f>SUM(V87:W87)</f>
        <v>0</v>
      </c>
      <c r="X89" s="6" t="s">
        <v>4405</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53"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38"/>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24" t="str">
        <f>'Translate&amp;Prices&amp;Logo'!$B$310</f>
        <v>Nákresy profilov a spoj. kovania</v>
      </c>
      <c r="L2" s="724"/>
      <c r="M2" s="724"/>
      <c r="N2" s="724"/>
      <c r="O2" s="724"/>
      <c r="P2" s="724"/>
      <c r="Q2" s="724"/>
      <c r="R2" s="206"/>
      <c r="S2" s="206"/>
      <c r="T2" s="206"/>
      <c r="U2" s="39"/>
      <c r="V2" s="39"/>
      <c r="W2" s="15"/>
      <c r="X2" s="15"/>
      <c r="Y2" s="15"/>
      <c r="Z2" s="15"/>
      <c r="AA2" s="15"/>
      <c r="AB2" s="15"/>
      <c r="AC2" s="722" t="str">
        <f>'Translate&amp;Prices&amp;Logo'!$B$540</f>
        <v>Úvod</v>
      </c>
      <c r="AD2" s="723"/>
      <c r="AE2" s="723"/>
      <c r="AF2" s="723"/>
    </row>
    <row r="3" spans="1:32" ht="20.25">
      <c r="A3" s="39"/>
      <c r="B3" s="39"/>
      <c r="C3" s="39"/>
      <c r="D3" s="39"/>
      <c r="E3" s="39"/>
      <c r="F3" s="39"/>
      <c r="G3" s="39"/>
      <c r="H3" s="39"/>
      <c r="I3" s="39"/>
      <c r="J3" s="39"/>
      <c r="K3" s="724"/>
      <c r="L3" s="724"/>
      <c r="M3" s="724"/>
      <c r="N3" s="724"/>
      <c r="O3" s="724"/>
      <c r="P3" s="724"/>
      <c r="Q3" s="724"/>
      <c r="R3" s="206"/>
      <c r="S3" s="206"/>
      <c r="T3" s="206"/>
      <c r="U3" s="39"/>
      <c r="V3" s="39"/>
      <c r="W3" s="15"/>
      <c r="X3" s="15"/>
      <c r="Y3" s="15"/>
      <c r="Z3" s="15"/>
      <c r="AA3" s="15"/>
      <c r="AB3" s="15"/>
      <c r="AC3" s="722"/>
      <c r="AD3" s="723"/>
      <c r="AE3" s="723"/>
      <c r="AF3" s="723"/>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21" t="str">
        <f>'Translate&amp;Prices&amp;Logo'!$B$233</f>
        <v>Úzky ALU rámček</v>
      </c>
      <c r="C8" s="721"/>
      <c r="D8" s="721"/>
      <c r="E8" s="721"/>
      <c r="F8" s="721"/>
      <c r="G8" s="721"/>
      <c r="V8" s="727" t="str">
        <f>'Translate&amp;Prices&amp;Logo'!$B$316</f>
        <v>Nákresy profilov</v>
      </c>
      <c r="W8" s="727"/>
      <c r="X8" s="727"/>
      <c r="Y8" s="727"/>
      <c r="Z8" s="727"/>
      <c r="AA8" s="727"/>
      <c r="AB8" s="222"/>
      <c r="AC8" s="222"/>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20" t="s">
        <v>27</v>
      </c>
      <c r="C22" s="720"/>
      <c r="D22" s="720"/>
      <c r="F22" s="720" t="s">
        <v>1413</v>
      </c>
      <c r="G22" s="720"/>
      <c r="H22" s="720"/>
      <c r="J22" s="720" t="s">
        <v>1414</v>
      </c>
      <c r="K22" s="720"/>
      <c r="L22" s="720"/>
      <c r="N22" s="720" t="s">
        <v>2266</v>
      </c>
      <c r="O22" s="720"/>
      <c r="P22" s="720"/>
    </row>
    <row r="23" spans="2:44" ht="21" customHeight="1">
      <c r="B23" s="720"/>
      <c r="C23" s="720"/>
      <c r="D23" s="720"/>
      <c r="F23" s="720"/>
      <c r="G23" s="720"/>
      <c r="H23" s="720"/>
      <c r="J23" s="720"/>
      <c r="K23" s="720"/>
      <c r="L23" s="720"/>
      <c r="N23" s="720"/>
      <c r="O23" s="720"/>
      <c r="P23" s="720"/>
    </row>
    <row r="24" spans="2:44" ht="21" customHeight="1">
      <c r="B24" s="214"/>
      <c r="C24" s="214"/>
      <c r="D24" s="214"/>
      <c r="F24" s="214"/>
      <c r="G24" s="214"/>
      <c r="H24" s="214"/>
      <c r="J24" s="214"/>
      <c r="K24" s="214"/>
      <c r="L24" s="214"/>
      <c r="N24" s="214"/>
      <c r="O24" s="214"/>
      <c r="P24" s="214"/>
      <c r="R24" s="214"/>
      <c r="S24" s="214"/>
      <c r="T24" s="214"/>
    </row>
    <row r="25" spans="2:44" ht="21" customHeight="1">
      <c r="B25" s="214"/>
      <c r="C25" s="214"/>
      <c r="D25" s="214"/>
      <c r="F25" s="214"/>
      <c r="G25" s="214"/>
      <c r="H25" s="214"/>
      <c r="J25" s="214"/>
      <c r="K25" s="214"/>
      <c r="L25" s="214"/>
      <c r="N25" s="214"/>
      <c r="O25" s="214"/>
      <c r="P25" s="214"/>
      <c r="R25" s="214"/>
      <c r="S25" s="214"/>
      <c r="T25" s="214"/>
      <c r="AB25" s="3"/>
    </row>
    <row r="26" spans="2:44" ht="21" customHeight="1">
      <c r="B26" s="214"/>
      <c r="C26" s="214"/>
      <c r="D26" s="214"/>
      <c r="F26" s="214"/>
      <c r="G26" s="214"/>
      <c r="H26" s="214"/>
      <c r="J26" s="214"/>
      <c r="K26" s="214"/>
      <c r="L26" s="214"/>
      <c r="N26" s="214"/>
      <c r="O26" s="214"/>
      <c r="P26" s="214"/>
      <c r="R26" s="214"/>
      <c r="S26" s="214"/>
      <c r="T26" s="214"/>
    </row>
    <row r="27" spans="2:44" ht="21" customHeight="1">
      <c r="B27" s="214"/>
      <c r="C27" s="214"/>
      <c r="D27" s="214"/>
      <c r="F27" s="214"/>
      <c r="G27" s="214"/>
      <c r="H27" s="214"/>
      <c r="J27" s="214"/>
      <c r="K27" s="214"/>
      <c r="L27" s="214"/>
      <c r="N27" s="214"/>
      <c r="O27" s="214"/>
      <c r="P27" s="214"/>
      <c r="R27" s="214"/>
      <c r="S27" s="214"/>
      <c r="T27" s="214"/>
    </row>
    <row r="28" spans="2:44" ht="21" customHeight="1">
      <c r="B28" s="214"/>
      <c r="C28" s="214"/>
      <c r="D28" s="214"/>
      <c r="F28" s="214"/>
      <c r="G28" s="214"/>
      <c r="H28" s="214"/>
      <c r="J28" s="214"/>
      <c r="K28" s="214"/>
      <c r="L28" s="214"/>
      <c r="N28" s="214"/>
      <c r="O28" s="214"/>
      <c r="P28" s="214"/>
      <c r="R28" s="214"/>
      <c r="S28" s="214"/>
      <c r="T28" s="214"/>
    </row>
    <row r="29" spans="2:44" ht="21" customHeight="1">
      <c r="B29" s="214"/>
      <c r="C29" s="214"/>
      <c r="D29" s="214"/>
      <c r="F29" s="214"/>
      <c r="G29" s="214"/>
      <c r="H29" s="214"/>
      <c r="J29"/>
      <c r="K29" s="214"/>
      <c r="L29" s="214"/>
      <c r="N29" s="214"/>
      <c r="O29" s="214"/>
      <c r="P29" s="214"/>
      <c r="R29" s="214"/>
      <c r="S29" s="214"/>
      <c r="T29" s="214"/>
    </row>
    <row r="30" spans="2:44" ht="21" customHeight="1">
      <c r="B30" s="214"/>
      <c r="C30" s="214"/>
      <c r="D30" s="214"/>
      <c r="F30" s="214"/>
      <c r="G30" s="214"/>
      <c r="H30" s="214"/>
      <c r="J30" s="214"/>
      <c r="K30" s="214"/>
      <c r="L30" s="214"/>
      <c r="M30" s="19"/>
      <c r="N30" s="214"/>
      <c r="O30" s="214"/>
      <c r="P30" s="214"/>
      <c r="R30" s="214"/>
      <c r="S30" s="214"/>
      <c r="T30" s="214"/>
      <c r="AB30" s="3"/>
    </row>
    <row r="31" spans="2:44" ht="21" customHeight="1">
      <c r="B31" s="214"/>
      <c r="C31" s="214"/>
      <c r="D31" s="214"/>
      <c r="F31" s="214"/>
      <c r="G31" s="214"/>
      <c r="H31" s="214"/>
      <c r="J31" s="214"/>
      <c r="K31" s="214"/>
      <c r="L31" s="214"/>
      <c r="N31" s="214"/>
      <c r="O31" s="214"/>
      <c r="P31" s="214"/>
      <c r="R31" s="214"/>
      <c r="S31" s="214"/>
      <c r="T31" s="214"/>
    </row>
    <row r="32" spans="2:44" ht="21" customHeight="1">
      <c r="B32" s="214"/>
      <c r="C32" s="214"/>
      <c r="D32" s="214"/>
      <c r="F32" s="214"/>
      <c r="G32" s="214"/>
      <c r="H32" s="214"/>
      <c r="J32" s="214"/>
      <c r="K32" s="214"/>
      <c r="L32" s="214"/>
      <c r="N32" s="214"/>
      <c r="O32" s="214"/>
      <c r="P32" s="214"/>
      <c r="R32" s="214"/>
      <c r="S32" s="214"/>
      <c r="T32" s="214"/>
    </row>
    <row r="33" spans="1:26" ht="21" customHeight="1">
      <c r="B33" s="720" t="s">
        <v>2275</v>
      </c>
      <c r="C33" s="720"/>
      <c r="D33" s="720"/>
      <c r="F33" s="720" t="s">
        <v>2276</v>
      </c>
      <c r="G33" s="720"/>
      <c r="H33" s="720"/>
      <c r="J33" s="720" t="s">
        <v>4492</v>
      </c>
      <c r="K33" s="720"/>
      <c r="L33" s="720"/>
      <c r="N33" s="214"/>
      <c r="O33" s="214"/>
      <c r="P33" s="214"/>
      <c r="R33" s="214"/>
      <c r="S33" s="214"/>
      <c r="T33" s="214"/>
    </row>
    <row r="34" spans="1:26" ht="15" customHeight="1">
      <c r="B34" s="720"/>
      <c r="C34" s="720"/>
      <c r="D34" s="720"/>
      <c r="F34" s="720"/>
      <c r="G34" s="720"/>
      <c r="H34" s="720"/>
      <c r="J34" s="720"/>
      <c r="K34" s="720"/>
      <c r="L34" s="720"/>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21" t="str">
        <f>'Translate&amp;Prices&amp;Logo'!$B$234</f>
        <v>Široký ALU rámček</v>
      </c>
      <c r="C37" s="721"/>
      <c r="D37" s="721"/>
      <c r="E37" s="721"/>
      <c r="F37" s="721"/>
      <c r="G37" s="721"/>
      <c r="H37" s="114"/>
      <c r="I37" s="114"/>
      <c r="J37" s="114"/>
      <c r="L37" s="114"/>
      <c r="M37" s="114"/>
      <c r="N37" s="114"/>
      <c r="O37" s="114"/>
      <c r="Q37" s="114"/>
      <c r="R37" s="114"/>
      <c r="S37" s="114"/>
      <c r="T37" s="114"/>
      <c r="U37" s="114"/>
      <c r="V37" s="725"/>
      <c r="W37" s="725"/>
      <c r="Y37" s="726"/>
      <c r="Z37" s="726"/>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35"/>
      <c r="G51" s="335"/>
      <c r="H51" s="335"/>
      <c r="K51" s="335"/>
      <c r="L51" s="335"/>
      <c r="N51" s="720"/>
      <c r="O51" s="720"/>
      <c r="P51" s="720"/>
    </row>
    <row r="52" spans="2:43" ht="14.45" customHeight="1">
      <c r="B52" s="720" t="s">
        <v>1418</v>
      </c>
      <c r="C52" s="720"/>
      <c r="D52" s="720"/>
      <c r="F52" s="720" t="s">
        <v>1419</v>
      </c>
      <c r="G52" s="720"/>
      <c r="H52" s="335"/>
      <c r="J52" s="720" t="s">
        <v>1416</v>
      </c>
      <c r="K52" s="720"/>
      <c r="L52" s="335"/>
      <c r="N52" s="720"/>
      <c r="O52" s="720"/>
      <c r="P52" s="720"/>
    </row>
    <row r="53" spans="2:43" ht="18" customHeight="1">
      <c r="B53" s="720"/>
      <c r="C53" s="720"/>
      <c r="D53" s="720"/>
      <c r="F53" s="720"/>
      <c r="G53" s="720"/>
      <c r="J53" s="720"/>
      <c r="K53" s="720"/>
      <c r="L53" s="335"/>
      <c r="V53" s="721" t="str">
        <f>'Translate&amp;Prices&amp;Logo'!$B$294</f>
        <v>Minimálna vzdialenosť umiestenia závesov</v>
      </c>
      <c r="W53" s="721"/>
      <c r="X53" s="721"/>
      <c r="Y53" s="721"/>
      <c r="Z53" s="721"/>
      <c r="AA53" s="721"/>
      <c r="AF53" s="49"/>
      <c r="AQ53" s="49"/>
    </row>
    <row r="54" spans="2:43">
      <c r="I54"/>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16"/>
    <row r="66" spans="2:16"/>
    <row r="67" spans="2:16" ht="14.45" customHeight="1">
      <c r="B67" s="720" t="s">
        <v>1417</v>
      </c>
      <c r="C67" s="720"/>
      <c r="D67" s="720"/>
      <c r="F67" s="720" t="s">
        <v>1415</v>
      </c>
      <c r="G67" s="720"/>
      <c r="H67" s="720"/>
      <c r="K67" s="335"/>
      <c r="L67" s="335"/>
      <c r="N67" s="720"/>
      <c r="O67" s="720"/>
      <c r="P67" s="720"/>
    </row>
    <row r="68" spans="2:16" ht="14.45" customHeight="1">
      <c r="B68" s="720"/>
      <c r="C68" s="720"/>
      <c r="D68" s="720"/>
      <c r="F68" s="720"/>
      <c r="G68" s="720"/>
      <c r="H68" s="720"/>
      <c r="J68" s="335"/>
      <c r="K68" s="335"/>
      <c r="L68" s="335"/>
      <c r="N68" s="720"/>
      <c r="O68" s="720"/>
      <c r="P68" s="720"/>
    </row>
    <row r="69" spans="2:16"/>
    <row r="70" spans="2:16"/>
    <row r="71" spans="2:16"/>
    <row r="72" spans="2:16" ht="18.75">
      <c r="B72" s="719" t="str">
        <f>'Translate&amp;Prices&amp;Logo'!$B$542</f>
        <v>Kombinácia 2 profilov</v>
      </c>
      <c r="C72" s="719"/>
      <c r="D72" s="719"/>
      <c r="E72" s="719"/>
      <c r="F72" s="719"/>
      <c r="G72" s="719"/>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19" t="str">
        <f>'Translate&amp;Prices&amp;Logo'!$B$543</f>
        <v>Deliace lišty</v>
      </c>
      <c r="C92" s="719"/>
      <c r="D92" s="719"/>
      <c r="E92" s="719"/>
      <c r="F92" s="719"/>
      <c r="G92" s="719"/>
    </row>
    <row r="93" spans="2:7"/>
    <row r="94" spans="2:7"/>
    <row r="95" spans="2:7"/>
    <row r="96" spans="2:7"/>
    <row r="97"/>
    <row r="98"/>
    <row r="99"/>
    <row r="100"/>
    <row r="101"/>
    <row r="102"/>
    <row r="103"/>
    <row r="104"/>
    <row r="105"/>
    <row r="106"/>
    <row r="107"/>
    <row r="108"/>
    <row r="109"/>
    <row r="110"/>
    <row r="111"/>
  </sheetData>
  <sheetProtection algorithmName="SHA-512" hashValue="juvT46GG4AQEZmv9LcsXLb9XTmyYst4hlFmIkhNqtGRgjrTN75jSmJH3ao67IU9f6inu9jqCjQVteEK4XRyz+Q==" saltValue="LvDICJca6xGJ2FIWanhHpA==" spinCount="100000" sheet="1" objects="1" scenarios="1"/>
  <mergeCells count="24">
    <mergeCell ref="B8:G8"/>
    <mergeCell ref="B22:D23"/>
    <mergeCell ref="V53:AA53"/>
    <mergeCell ref="F22:H23"/>
    <mergeCell ref="V8:AA8"/>
    <mergeCell ref="J22:L23"/>
    <mergeCell ref="J52:K53"/>
    <mergeCell ref="AC2:AF3"/>
    <mergeCell ref="N67:P68"/>
    <mergeCell ref="N51:P52"/>
    <mergeCell ref="N22:P23"/>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AM1" sqref="AM1:AP1"/>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33">
        <f ca="1">TODAY()</f>
        <v>46232</v>
      </c>
      <c r="AN1" s="565"/>
      <c r="AO1" s="565"/>
      <c r="AP1" s="565"/>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541" t="str">
        <f>'Translate&amp;Prices&amp;Logo'!$B$540</f>
        <v>Úvod</v>
      </c>
      <c r="AM2" s="542"/>
      <c r="AN2" s="542"/>
      <c r="AO2" s="542"/>
      <c r="AP2" s="542"/>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541"/>
      <c r="AM3" s="542"/>
      <c r="AN3" s="542"/>
      <c r="AO3" s="542"/>
      <c r="AP3" s="542"/>
    </row>
    <row r="4" spans="1:53" ht="14.85" customHeight="1"/>
    <row r="5" spans="1:53" ht="14.85" customHeight="1">
      <c r="B5" s="313" t="str">
        <f>'Translate&amp;Prices&amp;Logo'!$B$249</f>
        <v>Zákazník</v>
      </c>
      <c r="C5" s="313"/>
      <c r="D5" s="313"/>
      <c r="E5" s="313"/>
      <c r="F5" s="313"/>
      <c r="G5" s="290"/>
      <c r="H5" s="729">
        <f>Zakaznik!$K$13</f>
        <v>0</v>
      </c>
      <c r="I5" s="729"/>
      <c r="J5" s="729"/>
      <c r="K5" s="729"/>
      <c r="L5" s="729"/>
      <c r="M5" s="729"/>
      <c r="N5" s="729"/>
      <c r="Q5" s="730" t="s">
        <v>3587</v>
      </c>
      <c r="R5" s="730"/>
      <c r="S5" s="730"/>
      <c r="T5" s="36"/>
      <c r="U5" s="729">
        <f>Zakaznik!K23</f>
        <v>0</v>
      </c>
      <c r="V5" s="729"/>
      <c r="W5" s="729"/>
      <c r="X5" s="729"/>
      <c r="Y5" s="729"/>
      <c r="Z5" s="729"/>
      <c r="AB5" s="311" t="str">
        <f>'Translate&amp;Prices&amp;Logo'!$B$178</f>
        <v>Cena rámčekov celkom</v>
      </c>
      <c r="AC5" s="311"/>
      <c r="AD5" s="311"/>
      <c r="AE5" s="311"/>
      <c r="AF5" s="311"/>
      <c r="AG5" s="36"/>
      <c r="AH5" s="736">
        <f>SUM(Ram_1!$L$30,Ram_2!$L$30,Ram_3!$L$30,Ram_4!$L$30,Ram_5!$L$30,Ram_6!$L$30)</f>
        <v>0</v>
      </c>
      <c r="AI5" s="736"/>
      <c r="AJ5" s="736"/>
      <c r="AK5" s="736"/>
      <c r="AL5" s="736"/>
      <c r="AM5" s="312" t="str">
        <f>VLOOKUP('Translate&amp;Prices&amp;Logo'!D1,kombinace_1!$EV$1:$EW$6,2,0)</f>
        <v>€</v>
      </c>
      <c r="AN5" s="310"/>
      <c r="AO5" s="737" t="str">
        <f>IF(U5="Dostawa na adres","Cennik transportu - kliknij tutaj","")</f>
        <v/>
      </c>
      <c r="AP5" s="737"/>
      <c r="AQ5" s="424"/>
      <c r="AR5" s="424"/>
      <c r="AS5" s="424"/>
    </row>
    <row r="6" spans="1:53" ht="14.85" customHeight="1">
      <c r="B6" s="313" t="str">
        <f>'Translate&amp;Prices&amp;Logo'!$B$253</f>
        <v>IČ:</v>
      </c>
      <c r="C6" s="313"/>
      <c r="D6" s="313"/>
      <c r="E6" s="313"/>
      <c r="F6" s="313"/>
      <c r="G6" s="290"/>
      <c r="H6" s="729">
        <f>Zakaznik!$K$15</f>
        <v>0</v>
      </c>
      <c r="I6" s="729"/>
      <c r="J6" s="729"/>
      <c r="K6" s="729"/>
      <c r="L6" s="729"/>
      <c r="M6" s="729"/>
      <c r="N6" s="729"/>
      <c r="Q6" s="730" t="s">
        <v>3588</v>
      </c>
      <c r="R6" s="730"/>
      <c r="S6" s="730"/>
      <c r="T6" s="36"/>
      <c r="U6" s="734">
        <f>Zakaznik!$K$25</f>
        <v>0</v>
      </c>
      <c r="V6" s="734"/>
      <c r="W6" s="734"/>
      <c r="X6" s="734"/>
      <c r="Y6" s="734"/>
      <c r="Z6" s="734"/>
      <c r="AB6" s="735" t="str">
        <f>IF(AND(Hlavní!V39=3,Zakaznik!K23="Dostawa na adres"),"Koszty transportu","")</f>
        <v/>
      </c>
      <c r="AC6" s="735"/>
      <c r="AD6" s="735"/>
      <c r="AE6" s="735"/>
      <c r="AF6" s="735"/>
      <c r="AG6" s="36"/>
      <c r="AH6" s="731">
        <f>IF(AND(Hlavní!V39=3,Zakaznik!K23="Dostawa na adres"),'kalkulace dopravy'!U2,0)</f>
        <v>0</v>
      </c>
      <c r="AI6" s="731"/>
      <c r="AJ6" s="731"/>
      <c r="AK6" s="731"/>
      <c r="AL6" s="731"/>
      <c r="AM6" s="312" t="s">
        <v>3586</v>
      </c>
      <c r="AO6" s="737"/>
      <c r="AP6" s="737"/>
      <c r="AQ6" s="424"/>
      <c r="AR6" s="424"/>
      <c r="AS6" s="424"/>
    </row>
    <row r="7" spans="1:53" ht="14.85" customHeight="1">
      <c r="B7" s="313" t="str">
        <f>'Translate&amp;Prices&amp;Logo'!$B$250</f>
        <v>Kontaktný tel.</v>
      </c>
      <c r="C7" s="313"/>
      <c r="D7" s="313"/>
      <c r="E7" s="313"/>
      <c r="F7" s="313"/>
      <c r="G7" s="290"/>
      <c r="H7" s="729">
        <f>Zakaznik!$K$17</f>
        <v>0</v>
      </c>
      <c r="I7" s="729"/>
      <c r="J7" s="729"/>
      <c r="K7" s="729"/>
      <c r="L7" s="729"/>
      <c r="M7" s="729"/>
      <c r="N7" s="729"/>
      <c r="U7" s="734">
        <f>Zakaznik!$K$26</f>
        <v>0</v>
      </c>
      <c r="V7" s="734"/>
      <c r="W7" s="734"/>
      <c r="X7" s="734"/>
      <c r="Y7" s="734"/>
      <c r="Z7" s="734"/>
      <c r="AA7" s="30"/>
      <c r="AB7" s="730" t="str">
        <f>IF(AND(Hlavní!V39=3,Zakaznik!K23="Dostawa na adres"),"Cena razem","")</f>
        <v/>
      </c>
      <c r="AC7" s="730"/>
      <c r="AD7" s="730"/>
      <c r="AE7" s="730"/>
      <c r="AF7" s="730"/>
      <c r="AG7" s="36"/>
      <c r="AH7" s="731">
        <f>SUM(AH5:AL6)</f>
        <v>0</v>
      </c>
      <c r="AI7" s="731"/>
      <c r="AJ7" s="731"/>
      <c r="AK7" s="731"/>
      <c r="AL7" s="731"/>
      <c r="AM7" s="312" t="s">
        <v>3586</v>
      </c>
      <c r="AO7" s="737"/>
      <c r="AP7" s="737"/>
    </row>
    <row r="8" spans="1:53" ht="14.85" customHeight="1">
      <c r="K8" s="305"/>
      <c r="L8" s="305"/>
      <c r="M8" s="305"/>
      <c r="N8" s="305"/>
      <c r="O8" s="305"/>
      <c r="Q8" s="31"/>
      <c r="R8" s="306"/>
      <c r="S8" s="306"/>
      <c r="T8" s="306"/>
      <c r="U8" s="734">
        <f>Zakaznik!$K$27</f>
        <v>0</v>
      </c>
      <c r="V8" s="734"/>
      <c r="W8" s="734"/>
      <c r="X8" s="734"/>
      <c r="Y8" s="734"/>
      <c r="Z8" s="734"/>
      <c r="AA8" s="30"/>
      <c r="AB8" s="30"/>
      <c r="AC8" s="31"/>
      <c r="AE8" s="309"/>
      <c r="AF8" s="309"/>
      <c r="AG8" s="309"/>
      <c r="AH8" s="309"/>
      <c r="AI8" s="309"/>
      <c r="AJ8" s="309"/>
    </row>
    <row r="9" spans="1:53" ht="15" customHeight="1">
      <c r="B9" s="730" t="str">
        <f>'Translate&amp;Prices&amp;Logo'!$B$254</f>
        <v>Zľava na rámčeky</v>
      </c>
      <c r="C9" s="730"/>
      <c r="D9" s="730"/>
      <c r="E9" s="730"/>
      <c r="F9" s="730"/>
      <c r="G9" s="290"/>
      <c r="H9" s="732">
        <f>Zakaznik!$K$21</f>
        <v>0</v>
      </c>
      <c r="I9" s="732"/>
      <c r="J9" s="732"/>
      <c r="K9" s="732"/>
      <c r="L9" s="732"/>
      <c r="M9" s="732"/>
      <c r="N9" s="732"/>
      <c r="AB9" s="685" t="str">
        <f>IF(ISTEXT(AH6)=TRUE,VLOOKUP(AH6,'kalkulace dopravy'!X2:Y4,2,0),"")</f>
        <v/>
      </c>
      <c r="AC9" s="685"/>
      <c r="AD9" s="685"/>
      <c r="AE9" s="685"/>
      <c r="AF9" s="685"/>
      <c r="AG9" s="685"/>
      <c r="AH9" s="685"/>
      <c r="AI9" s="685"/>
      <c r="AJ9" s="685"/>
      <c r="AK9" s="685"/>
      <c r="AL9" s="685"/>
      <c r="AM9" s="685"/>
      <c r="AN9" s="685"/>
      <c r="AO9" s="685"/>
      <c r="AP9" s="323"/>
      <c r="AU9" s="1">
        <f>IF(Hlavní!$V$39=3,1,2)</f>
        <v>2</v>
      </c>
    </row>
    <row r="10" spans="1:53" ht="15" customHeight="1">
      <c r="B10" s="315">
        <f>Zakaznik!$K$21</f>
        <v>0</v>
      </c>
      <c r="C10" s="97"/>
      <c r="D10" s="97"/>
      <c r="E10" s="97"/>
      <c r="F10" s="97"/>
      <c r="AB10" s="685"/>
      <c r="AC10" s="685"/>
      <c r="AD10" s="685"/>
      <c r="AE10" s="685"/>
      <c r="AF10" s="685"/>
      <c r="AG10" s="685"/>
      <c r="AH10" s="685"/>
      <c r="AI10" s="685"/>
      <c r="AJ10" s="685"/>
      <c r="AK10" s="685"/>
      <c r="AL10" s="685"/>
      <c r="AM10" s="685"/>
      <c r="AN10" s="685"/>
      <c r="AO10" s="685"/>
      <c r="AP10" s="323"/>
      <c r="AU10" s="1">
        <f>IF(Zakaznik!K23="Dostawa na adres",1,2)</f>
        <v>2</v>
      </c>
    </row>
    <row r="11" spans="1:53" ht="14.85" customHeight="1" thickBot="1">
      <c r="AK11" s="728"/>
      <c r="AL11" s="728"/>
      <c r="AM11" s="728"/>
      <c r="AN11" s="323"/>
      <c r="AO11" s="323"/>
      <c r="AP11" s="323"/>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38" t="str">
        <f>"&lt; "&amp;'Translate&amp;Prices&amp;Logo'!$B$574&amp;" -- "&amp;Ram_1!$A$2</f>
        <v>&lt; Späť -- Rámček  1</v>
      </c>
      <c r="E13" s="738"/>
      <c r="F13" s="738"/>
      <c r="G13" s="738"/>
      <c r="H13" s="738"/>
      <c r="BA13" s="1"/>
    </row>
    <row r="14" spans="1:53" ht="14.85" customHeight="1"/>
    <row r="15" spans="1:53" ht="14.85" customHeight="1"/>
    <row r="16" spans="1:53" ht="14.85" customHeight="1">
      <c r="AU16" s="573"/>
    </row>
    <row r="17" spans="47:53" ht="14.85" customHeight="1">
      <c r="AU17" s="573"/>
    </row>
    <row r="18" spans="47:53" ht="14.85" customHeight="1"/>
    <row r="19" spans="47:53" ht="14.85" customHeight="1">
      <c r="AU19" s="573"/>
      <c r="BA19" s="1"/>
    </row>
    <row r="20" spans="47:53" ht="14.85" customHeight="1">
      <c r="AU20" s="573"/>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38" t="str">
        <f>"&lt; "&amp;'Translate&amp;Prices&amp;Logo'!$B$574&amp;" -- "&amp;Ram_2!$A$2</f>
        <v>&lt; Späť -- Rámček  2</v>
      </c>
      <c r="E40" s="738"/>
      <c r="F40" s="738"/>
      <c r="G40" s="738"/>
      <c r="H40" s="738"/>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38" t="str">
        <f>"&lt; "&amp;'Translate&amp;Prices&amp;Logo'!$B$574&amp;" -- "&amp;Ram_3!$A$2</f>
        <v>&lt; Späť -- Rámček  3</v>
      </c>
      <c r="E67" s="738"/>
      <c r="F67" s="738"/>
      <c r="G67" s="738"/>
      <c r="H67" s="738"/>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38" t="str">
        <f>"&lt; "&amp;'Translate&amp;Prices&amp;Logo'!$B$574&amp;" -- "&amp;Ram_4!$A$2</f>
        <v>&lt; Späť -- Rámček  4</v>
      </c>
      <c r="E94" s="738"/>
      <c r="F94" s="738"/>
      <c r="G94" s="738"/>
      <c r="H94" s="738"/>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38" t="str">
        <f>"&lt; "&amp;'Translate&amp;Prices&amp;Logo'!$B$574&amp;" -- "&amp;Ram_5!$A$2</f>
        <v>&lt; Späť -- Rámček  5</v>
      </c>
      <c r="E121" s="738"/>
      <c r="F121" s="738"/>
      <c r="G121" s="738"/>
      <c r="H121" s="738"/>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38" t="str">
        <f>"&lt; "&amp;'Translate&amp;Prices&amp;Logo'!$B$574&amp;" -- "&amp;Ram_6!$A$2</f>
        <v>&lt; Späť -- Rámček  6</v>
      </c>
      <c r="E148" s="738"/>
      <c r="F148" s="738"/>
      <c r="G148" s="738"/>
      <c r="H148" s="738"/>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ei6mm8TbZCEzrheG5Ni+fffx/5dFHbg2Cnh5PUliSK+OU5tOI/pYJDogiQyM1RmEL4iUWsQnSAQYMu3s5nXjTw==" saltValue="66Lmdj3lCzqyaJd/+gKllg=="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52" priority="6">
      <formula>$AU$9=2</formula>
    </cfRule>
  </conditionalFormatting>
  <conditionalFormatting sqref="Q6:AM8">
    <cfRule type="expression" dxfId="151"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showRowColHeaders="0" showZeros="0" topLeftCell="A101" zoomScale="85" zoomScaleNormal="85" workbookViewId="0">
      <selection activeCell="AT2" sqref="AT2:AW3"/>
    </sheetView>
  </sheetViews>
  <sheetFormatPr defaultColWidth="0" defaultRowHeight="16.5" custom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42" t="str">
        <f>'Translate&amp;Prices&amp;Logo'!$B$540</f>
        <v>Úvod</v>
      </c>
      <c r="AU2" s="742"/>
      <c r="AV2" s="742"/>
      <c r="AW2" s="742"/>
      <c r="AX2" s="39"/>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42"/>
      <c r="AU3" s="742"/>
      <c r="AV3" s="742"/>
      <c r="AW3" s="742"/>
      <c r="AX3" s="39"/>
    </row>
    <row r="4" spans="1:50" ht="6.6" customHeight="1">
      <c r="A4" s="38"/>
      <c r="B4" s="38"/>
      <c r="C4" s="38"/>
      <c r="D4" s="38"/>
      <c r="E4" s="38"/>
      <c r="F4" s="38"/>
      <c r="G4" s="38"/>
      <c r="H4" s="38"/>
      <c r="I4" s="38"/>
      <c r="P4" s="743"/>
      <c r="Q4" s="743"/>
      <c r="R4" s="743"/>
      <c r="S4" s="743"/>
      <c r="T4" s="743"/>
      <c r="U4" s="743"/>
      <c r="V4" s="743"/>
      <c r="W4" s="743"/>
      <c r="X4" s="743"/>
      <c r="Y4" s="743"/>
      <c r="Z4" s="743"/>
      <c r="AA4" s="743"/>
      <c r="AB4" s="743"/>
      <c r="AC4" s="743"/>
      <c r="AD4" s="743"/>
      <c r="AP4" s="38"/>
      <c r="AQ4" s="38"/>
      <c r="AR4" s="38"/>
      <c r="AS4" s="38"/>
      <c r="AT4" s="38"/>
      <c r="AU4" s="38"/>
      <c r="AV4" s="38"/>
      <c r="AW4" s="38"/>
    </row>
    <row r="5" spans="1:50" ht="15" customHeight="1">
      <c r="A5" s="38"/>
      <c r="B5" s="38"/>
      <c r="C5" s="38"/>
      <c r="D5" s="38"/>
      <c r="E5" s="38"/>
      <c r="F5" s="38"/>
      <c r="G5" s="38"/>
      <c r="H5" s="38"/>
      <c r="I5" s="38"/>
      <c r="P5" s="743"/>
      <c r="Q5" s="743"/>
      <c r="R5" s="743"/>
      <c r="S5" s="743"/>
      <c r="T5" s="743"/>
      <c r="U5" s="743"/>
      <c r="V5" s="743"/>
      <c r="W5" s="743"/>
      <c r="X5" s="743"/>
      <c r="Y5" s="743"/>
      <c r="Z5" s="743"/>
      <c r="AA5" s="743"/>
      <c r="AB5" s="743"/>
      <c r="AC5" s="743"/>
      <c r="AD5" s="743"/>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44"/>
      <c r="AR29" s="744"/>
      <c r="AS29" s="744"/>
    </row>
    <row r="30" spans="2:50" ht="17.100000000000001" customHeight="1">
      <c r="B30" s="745" t="s">
        <v>150</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745"/>
      <c r="AS30" s="745"/>
      <c r="AT30" s="745"/>
      <c r="AU30" s="745"/>
      <c r="AV30" s="745"/>
      <c r="AW30" s="745"/>
      <c r="AX30" s="745"/>
    </row>
    <row r="31" spans="2:50" ht="15"/>
    <row r="32" spans="2:50" ht="15">
      <c r="B32" s="20"/>
      <c r="C32" s="739" t="s">
        <v>139</v>
      </c>
      <c r="D32" s="739"/>
      <c r="E32" s="739"/>
      <c r="F32" s="739"/>
      <c r="G32" s="739"/>
      <c r="H32" s="161"/>
      <c r="I32" s="739" t="s">
        <v>140</v>
      </c>
      <c r="J32" s="739"/>
      <c r="K32" s="739"/>
      <c r="L32" s="739"/>
      <c r="M32" s="739"/>
      <c r="N32" s="161"/>
      <c r="O32" s="739" t="s">
        <v>127</v>
      </c>
      <c r="P32" s="739"/>
      <c r="Q32" s="739"/>
      <c r="R32" s="739"/>
      <c r="S32" s="739"/>
      <c r="T32" s="161"/>
      <c r="U32" s="739" t="s">
        <v>129</v>
      </c>
      <c r="V32" s="739"/>
      <c r="W32" s="739"/>
      <c r="X32" s="739"/>
      <c r="Y32" s="739"/>
      <c r="Z32" s="161"/>
      <c r="AA32" s="739" t="s">
        <v>2190</v>
      </c>
      <c r="AB32" s="739"/>
      <c r="AC32" s="739"/>
      <c r="AD32" s="739"/>
      <c r="AE32" s="739"/>
      <c r="AF32" s="161"/>
      <c r="AG32" s="739" t="s">
        <v>137</v>
      </c>
      <c r="AH32" s="739"/>
      <c r="AI32" s="739"/>
      <c r="AJ32" s="739"/>
      <c r="AK32" s="739"/>
      <c r="AL32" s="161"/>
      <c r="AM32" s="739" t="s">
        <v>138</v>
      </c>
      <c r="AN32" s="739"/>
      <c r="AO32" s="739"/>
      <c r="AP32" s="739"/>
      <c r="AQ32" s="739"/>
      <c r="AR32" s="161"/>
      <c r="AS32" s="739" t="s">
        <v>142</v>
      </c>
      <c r="AT32" s="739"/>
      <c r="AU32" s="739"/>
      <c r="AV32" s="739"/>
      <c r="AW32" s="739"/>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26"/>
      <c r="D34" s="726"/>
      <c r="E34" s="726"/>
      <c r="F34" s="726"/>
      <c r="G34" s="726"/>
      <c r="H34" s="160"/>
      <c r="I34" s="726"/>
      <c r="J34" s="726"/>
      <c r="K34" s="726"/>
      <c r="L34" s="726"/>
      <c r="M34" s="726"/>
      <c r="N34" s="160"/>
      <c r="O34" s="726"/>
      <c r="P34" s="726"/>
      <c r="Q34" s="726"/>
      <c r="R34" s="726"/>
      <c r="S34" s="726"/>
      <c r="T34" s="160"/>
      <c r="U34" s="726"/>
      <c r="V34" s="726"/>
      <c r="W34" s="726"/>
      <c r="X34" s="726"/>
      <c r="Y34" s="726"/>
      <c r="Z34" s="160"/>
      <c r="AA34" s="726"/>
      <c r="AB34" s="726"/>
      <c r="AC34" s="726"/>
      <c r="AD34" s="726"/>
      <c r="AE34" s="726"/>
      <c r="AF34" s="160"/>
      <c r="AG34" s="726"/>
      <c r="AH34" s="726"/>
      <c r="AI34" s="726"/>
      <c r="AJ34" s="726"/>
      <c r="AK34" s="726"/>
      <c r="AL34" s="160"/>
      <c r="AM34" s="726"/>
      <c r="AN34" s="726"/>
      <c r="AO34" s="726"/>
      <c r="AP34" s="726"/>
      <c r="AQ34" s="726"/>
      <c r="AR34" s="160"/>
      <c r="AS34" s="726"/>
      <c r="AT34" s="726"/>
      <c r="AU34" s="726"/>
      <c r="AV34" s="726"/>
      <c r="AW34" s="726"/>
    </row>
    <row r="35" spans="2:71" ht="14.85" customHeight="1">
      <c r="C35" s="726"/>
      <c r="D35" s="726"/>
      <c r="E35" s="726"/>
      <c r="F35" s="726"/>
      <c r="G35" s="726"/>
      <c r="H35" s="160"/>
      <c r="I35" s="726"/>
      <c r="J35" s="726"/>
      <c r="K35" s="726"/>
      <c r="L35" s="726"/>
      <c r="M35" s="726"/>
      <c r="N35" s="160"/>
      <c r="O35" s="726"/>
      <c r="P35" s="726"/>
      <c r="Q35" s="726"/>
      <c r="R35" s="726"/>
      <c r="S35" s="726"/>
      <c r="T35" s="160"/>
      <c r="U35" s="726"/>
      <c r="V35" s="726"/>
      <c r="W35" s="726"/>
      <c r="X35" s="726"/>
      <c r="Y35" s="726"/>
      <c r="Z35" s="160"/>
      <c r="AA35" s="726"/>
      <c r="AB35" s="726"/>
      <c r="AC35" s="726"/>
      <c r="AD35" s="726"/>
      <c r="AE35" s="726"/>
      <c r="AF35" s="160"/>
      <c r="AG35" s="726"/>
      <c r="AH35" s="726"/>
      <c r="AI35" s="726"/>
      <c r="AJ35" s="726"/>
      <c r="AK35" s="726"/>
      <c r="AL35" s="160"/>
      <c r="AM35" s="726"/>
      <c r="AN35" s="726"/>
      <c r="AO35" s="726"/>
      <c r="AP35" s="726"/>
      <c r="AQ35" s="726"/>
      <c r="AR35" s="160"/>
      <c r="AS35" s="726"/>
      <c r="AT35" s="726"/>
      <c r="AU35" s="726"/>
      <c r="AV35" s="726"/>
      <c r="AW35" s="726"/>
    </row>
    <row r="36" spans="2:71" ht="14.85" customHeight="1">
      <c r="C36" s="726"/>
      <c r="D36" s="726"/>
      <c r="E36" s="726"/>
      <c r="F36" s="726"/>
      <c r="G36" s="726"/>
      <c r="H36" s="160"/>
      <c r="I36" s="726"/>
      <c r="J36" s="726"/>
      <c r="K36" s="726"/>
      <c r="L36" s="726"/>
      <c r="M36" s="726"/>
      <c r="N36" s="160"/>
      <c r="O36" s="726"/>
      <c r="P36" s="726"/>
      <c r="Q36" s="726"/>
      <c r="R36" s="726"/>
      <c r="S36" s="726"/>
      <c r="T36" s="160"/>
      <c r="U36" s="726"/>
      <c r="V36" s="726"/>
      <c r="W36" s="726"/>
      <c r="X36" s="726"/>
      <c r="Y36" s="726"/>
      <c r="Z36" s="160"/>
      <c r="AA36" s="726"/>
      <c r="AB36" s="726"/>
      <c r="AC36" s="726"/>
      <c r="AD36" s="726"/>
      <c r="AE36" s="726"/>
      <c r="AF36" s="160"/>
      <c r="AG36" s="726"/>
      <c r="AH36" s="726"/>
      <c r="AI36" s="726"/>
      <c r="AJ36" s="726"/>
      <c r="AK36" s="726"/>
      <c r="AL36" s="160"/>
      <c r="AM36" s="726"/>
      <c r="AN36" s="726"/>
      <c r="AO36" s="726"/>
      <c r="AP36" s="726"/>
      <c r="AQ36" s="726"/>
      <c r="AR36" s="160"/>
      <c r="AS36" s="726"/>
      <c r="AT36" s="726"/>
      <c r="AU36" s="726"/>
      <c r="AV36" s="726"/>
      <c r="AW36" s="726"/>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41" t="str">
        <f>'Translate&amp;Prices&amp;Logo'!$B$257</f>
        <v>Farebné náhľady u jednotlivých názvov RAL a REF sú len orientačné !!!</v>
      </c>
      <c r="BD37" s="741"/>
      <c r="BE37" s="741"/>
      <c r="BF37" s="741"/>
      <c r="BG37" s="741"/>
      <c r="BH37" s="741"/>
      <c r="BI37" s="741"/>
      <c r="BJ37" s="741"/>
      <c r="BK37" s="741"/>
      <c r="BL37" s="741"/>
      <c r="BM37" s="741"/>
      <c r="BN37" s="741"/>
      <c r="BO37" s="741"/>
      <c r="BP37" s="741"/>
      <c r="BQ37" s="741"/>
      <c r="BR37" s="741"/>
      <c r="BS37" s="741"/>
    </row>
    <row r="38" spans="2:71" ht="14.85" customHeight="1">
      <c r="B38" s="20"/>
      <c r="C38" s="739" t="s">
        <v>130</v>
      </c>
      <c r="D38" s="739"/>
      <c r="E38" s="739"/>
      <c r="F38" s="739"/>
      <c r="G38" s="739"/>
      <c r="H38" s="161"/>
      <c r="I38" s="739" t="s">
        <v>131</v>
      </c>
      <c r="J38" s="739"/>
      <c r="K38" s="739"/>
      <c r="L38" s="739"/>
      <c r="M38" s="739"/>
      <c r="N38" s="161"/>
      <c r="O38" s="739" t="s">
        <v>134</v>
      </c>
      <c r="P38" s="739"/>
      <c r="Q38" s="739"/>
      <c r="R38" s="739"/>
      <c r="S38" s="739"/>
      <c r="T38" s="161"/>
      <c r="U38" s="739" t="s">
        <v>136</v>
      </c>
      <c r="V38" s="739"/>
      <c r="W38" s="739"/>
      <c r="X38" s="739"/>
      <c r="Y38" s="739"/>
      <c r="Z38" s="161"/>
      <c r="AA38" s="739" t="s">
        <v>133</v>
      </c>
      <c r="AB38" s="739"/>
      <c r="AC38" s="739"/>
      <c r="AD38" s="739"/>
      <c r="AE38" s="739"/>
      <c r="AF38" s="161"/>
      <c r="AG38" s="739" t="s">
        <v>141</v>
      </c>
      <c r="AH38" s="739"/>
      <c r="AI38" s="739"/>
      <c r="AJ38" s="739"/>
      <c r="AK38" s="739"/>
      <c r="AL38" s="161"/>
      <c r="AM38" s="739" t="s">
        <v>2191</v>
      </c>
      <c r="AN38" s="739"/>
      <c r="AO38" s="739"/>
      <c r="AP38" s="739"/>
      <c r="AQ38" s="739"/>
      <c r="AR38" s="161"/>
      <c r="AS38" s="739" t="s">
        <v>2192</v>
      </c>
      <c r="AT38" s="739"/>
      <c r="AU38" s="739"/>
      <c r="AV38" s="739"/>
      <c r="AW38" s="739"/>
      <c r="AX38" s="20"/>
      <c r="BC38" s="740" t="str">
        <f>'Translate&amp;Prices&amp;Logo'!$B$329</f>
        <v>Vzorkovník skiel je možné objednať pod kódmi Lacobel VZK003P a Matelac VZK004P.</v>
      </c>
      <c r="BD38" s="740"/>
      <c r="BE38" s="740"/>
      <c r="BF38" s="740"/>
      <c r="BG38" s="740"/>
      <c r="BH38" s="740"/>
      <c r="BI38" s="740"/>
      <c r="BJ38" s="740"/>
      <c r="BK38" s="740"/>
      <c r="BL38" s="740"/>
      <c r="BM38" s="740"/>
      <c r="BN38" s="740"/>
      <c r="BO38" s="740"/>
      <c r="BP38" s="740"/>
      <c r="BQ38" s="740"/>
      <c r="BR38" s="740"/>
      <c r="BS38" s="740"/>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26"/>
      <c r="D40" s="726"/>
      <c r="E40" s="726"/>
      <c r="F40" s="726"/>
      <c r="G40" s="726"/>
      <c r="H40" s="160"/>
      <c r="I40" s="726"/>
      <c r="J40" s="726"/>
      <c r="K40" s="726"/>
      <c r="L40" s="726"/>
      <c r="M40" s="726"/>
      <c r="N40" s="160"/>
      <c r="O40" s="726"/>
      <c r="P40" s="726"/>
      <c r="Q40" s="726"/>
      <c r="R40" s="726"/>
      <c r="S40" s="726"/>
      <c r="T40" s="160"/>
      <c r="U40" s="726"/>
      <c r="V40" s="726"/>
      <c r="W40" s="726"/>
      <c r="X40" s="726"/>
      <c r="Y40" s="726"/>
      <c r="Z40" s="160"/>
      <c r="AA40" s="726"/>
      <c r="AB40" s="726"/>
      <c r="AC40" s="726"/>
      <c r="AD40" s="726"/>
      <c r="AE40" s="726"/>
      <c r="AF40" s="160"/>
      <c r="AG40" s="726"/>
      <c r="AH40" s="726"/>
      <c r="AI40" s="726"/>
      <c r="AJ40" s="726"/>
      <c r="AK40" s="726"/>
      <c r="AL40" s="160"/>
      <c r="AM40" s="726"/>
      <c r="AN40" s="726"/>
      <c r="AO40" s="726"/>
      <c r="AP40" s="726"/>
      <c r="AQ40" s="726"/>
      <c r="AR40" s="160"/>
      <c r="AS40" s="726"/>
      <c r="AT40" s="726"/>
      <c r="AU40" s="726"/>
      <c r="AV40" s="726"/>
      <c r="AW40" s="726"/>
    </row>
    <row r="41" spans="2:71" ht="14.85" customHeight="1">
      <c r="C41" s="726"/>
      <c r="D41" s="726"/>
      <c r="E41" s="726"/>
      <c r="F41" s="726"/>
      <c r="G41" s="726"/>
      <c r="H41" s="160"/>
      <c r="I41" s="726"/>
      <c r="J41" s="726"/>
      <c r="K41" s="726"/>
      <c r="L41" s="726"/>
      <c r="M41" s="726"/>
      <c r="N41" s="160"/>
      <c r="O41" s="726"/>
      <c r="P41" s="726"/>
      <c r="Q41" s="726"/>
      <c r="R41" s="726"/>
      <c r="S41" s="726"/>
      <c r="T41" s="160"/>
      <c r="U41" s="726"/>
      <c r="V41" s="726"/>
      <c r="W41" s="726"/>
      <c r="X41" s="726"/>
      <c r="Y41" s="726"/>
      <c r="Z41" s="160"/>
      <c r="AA41" s="726"/>
      <c r="AB41" s="726"/>
      <c r="AC41" s="726"/>
      <c r="AD41" s="726"/>
      <c r="AE41" s="726"/>
      <c r="AF41" s="160"/>
      <c r="AG41" s="726"/>
      <c r="AH41" s="726"/>
      <c r="AI41" s="726"/>
      <c r="AJ41" s="726"/>
      <c r="AK41" s="726"/>
      <c r="AL41" s="160"/>
      <c r="AM41" s="726"/>
      <c r="AN41" s="726"/>
      <c r="AO41" s="726"/>
      <c r="AP41" s="726"/>
      <c r="AQ41" s="726"/>
      <c r="AR41" s="160"/>
      <c r="AS41" s="726"/>
      <c r="AT41" s="726"/>
      <c r="AU41" s="726"/>
      <c r="AV41" s="726"/>
      <c r="AW41" s="726"/>
    </row>
    <row r="42" spans="2:71" ht="14.85" customHeight="1">
      <c r="C42" s="726"/>
      <c r="D42" s="726"/>
      <c r="E42" s="726"/>
      <c r="F42" s="726"/>
      <c r="G42" s="726"/>
      <c r="H42" s="160"/>
      <c r="I42" s="726"/>
      <c r="J42" s="726"/>
      <c r="K42" s="726"/>
      <c r="L42" s="726"/>
      <c r="M42" s="726"/>
      <c r="N42" s="160"/>
      <c r="O42" s="726"/>
      <c r="P42" s="726"/>
      <c r="Q42" s="726"/>
      <c r="R42" s="726"/>
      <c r="S42" s="726"/>
      <c r="T42" s="160"/>
      <c r="U42" s="726"/>
      <c r="V42" s="726"/>
      <c r="W42" s="726"/>
      <c r="X42" s="726"/>
      <c r="Y42" s="726"/>
      <c r="Z42" s="160"/>
      <c r="AA42" s="726"/>
      <c r="AB42" s="726"/>
      <c r="AC42" s="726"/>
      <c r="AD42" s="726"/>
      <c r="AE42" s="726"/>
      <c r="AF42" s="160"/>
      <c r="AG42" s="726"/>
      <c r="AH42" s="726"/>
      <c r="AI42" s="726"/>
      <c r="AJ42" s="726"/>
      <c r="AK42" s="726"/>
      <c r="AL42" s="160"/>
      <c r="AM42" s="726"/>
      <c r="AN42" s="726"/>
      <c r="AO42" s="726"/>
      <c r="AP42" s="726"/>
      <c r="AQ42" s="726"/>
      <c r="AR42" s="160"/>
      <c r="AS42" s="726"/>
      <c r="AT42" s="726"/>
      <c r="AU42" s="726"/>
      <c r="AV42" s="726"/>
      <c r="AW42" s="726"/>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41"/>
      <c r="BD43" s="741"/>
      <c r="BE43" s="741"/>
      <c r="BF43" s="741"/>
      <c r="BG43" s="741"/>
      <c r="BH43" s="741"/>
      <c r="BI43" s="741"/>
      <c r="BJ43" s="741"/>
      <c r="BK43" s="741"/>
      <c r="BL43" s="741"/>
      <c r="BM43" s="741"/>
      <c r="BN43" s="741"/>
      <c r="BO43" s="741"/>
      <c r="BP43" s="741"/>
      <c r="BQ43" s="741"/>
      <c r="BR43" s="741"/>
      <c r="BS43" s="741"/>
    </row>
    <row r="44" spans="2:71" ht="14.85" customHeight="1">
      <c r="B44" s="20"/>
      <c r="C44" s="739" t="s">
        <v>135</v>
      </c>
      <c r="D44" s="739"/>
      <c r="E44" s="739"/>
      <c r="F44" s="739"/>
      <c r="G44" s="739"/>
      <c r="H44" s="161"/>
      <c r="I44" s="739" t="s">
        <v>132</v>
      </c>
      <c r="J44" s="739"/>
      <c r="K44" s="739"/>
      <c r="L44" s="739"/>
      <c r="M44" s="739"/>
      <c r="N44" s="161"/>
      <c r="O44" s="739" t="s">
        <v>143</v>
      </c>
      <c r="P44" s="739"/>
      <c r="Q44" s="739"/>
      <c r="R44" s="739"/>
      <c r="S44" s="739"/>
      <c r="T44" s="161"/>
      <c r="U44" s="739" t="s">
        <v>2193</v>
      </c>
      <c r="V44" s="739"/>
      <c r="W44" s="739"/>
      <c r="X44" s="739"/>
      <c r="Y44" s="739"/>
      <c r="Z44" s="161"/>
      <c r="AA44" s="739" t="s">
        <v>128</v>
      </c>
      <c r="AB44" s="739"/>
      <c r="AC44" s="739"/>
      <c r="AD44" s="739"/>
      <c r="AE44" s="739"/>
      <c r="AF44" s="161"/>
      <c r="AG44" s="739" t="s">
        <v>2194</v>
      </c>
      <c r="AH44" s="739"/>
      <c r="AI44" s="739"/>
      <c r="AJ44" s="739"/>
      <c r="AK44" s="739"/>
      <c r="AL44" s="161"/>
      <c r="AM44" s="739" t="s">
        <v>2195</v>
      </c>
      <c r="AN44" s="739"/>
      <c r="AO44" s="739"/>
      <c r="AP44" s="739"/>
      <c r="AQ44" s="739"/>
      <c r="AR44" s="161"/>
      <c r="AS44" s="739" t="s">
        <v>2196</v>
      </c>
      <c r="AT44" s="739"/>
      <c r="AU44" s="739"/>
      <c r="AV44" s="739"/>
      <c r="AW44" s="739"/>
      <c r="AX44" s="20"/>
      <c r="BC44" s="740"/>
      <c r="BD44" s="740"/>
      <c r="BE44" s="740"/>
      <c r="BF44" s="740"/>
      <c r="BG44" s="740"/>
      <c r="BH44" s="740"/>
      <c r="BI44" s="740"/>
      <c r="BJ44" s="740"/>
      <c r="BK44" s="740"/>
      <c r="BL44" s="740"/>
      <c r="BM44" s="740"/>
      <c r="BN44" s="740"/>
      <c r="BO44" s="740"/>
      <c r="BP44" s="740"/>
      <c r="BQ44" s="740"/>
      <c r="BR44" s="740"/>
      <c r="BS44" s="740"/>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26"/>
      <c r="D46" s="726"/>
      <c r="E46" s="726"/>
      <c r="F46" s="726"/>
      <c r="G46" s="726"/>
      <c r="H46" s="160"/>
      <c r="I46" s="726"/>
      <c r="J46" s="726"/>
      <c r="K46" s="726"/>
      <c r="L46" s="726"/>
      <c r="M46" s="726"/>
      <c r="N46" s="160"/>
      <c r="O46" s="726"/>
      <c r="P46" s="726"/>
      <c r="Q46" s="726"/>
      <c r="R46" s="726"/>
      <c r="S46" s="726"/>
      <c r="T46" s="160"/>
      <c r="U46" s="726"/>
      <c r="V46" s="726"/>
      <c r="W46" s="726"/>
      <c r="X46" s="726"/>
      <c r="Y46" s="726"/>
      <c r="Z46" s="160"/>
      <c r="AA46" s="726"/>
      <c r="AB46" s="726"/>
      <c r="AC46" s="726"/>
      <c r="AD46" s="726"/>
      <c r="AE46" s="726"/>
      <c r="AF46" s="160"/>
      <c r="AG46" s="726"/>
      <c r="AH46" s="726"/>
      <c r="AI46" s="726"/>
      <c r="AJ46" s="726"/>
      <c r="AK46" s="726"/>
      <c r="AL46" s="160"/>
      <c r="AM46" s="726"/>
      <c r="AN46" s="726"/>
      <c r="AO46" s="726"/>
      <c r="AP46" s="726"/>
      <c r="AQ46" s="726"/>
      <c r="AR46" s="160"/>
      <c r="AS46" s="726"/>
      <c r="AT46" s="726"/>
      <c r="AU46" s="726"/>
      <c r="AV46" s="726"/>
      <c r="AW46" s="726"/>
    </row>
    <row r="47" spans="2:71" ht="14.85" customHeight="1">
      <c r="C47" s="726"/>
      <c r="D47" s="726"/>
      <c r="E47" s="726"/>
      <c r="F47" s="726"/>
      <c r="G47" s="726"/>
      <c r="H47" s="160"/>
      <c r="I47" s="726"/>
      <c r="J47" s="726"/>
      <c r="K47" s="726"/>
      <c r="L47" s="726"/>
      <c r="M47" s="726"/>
      <c r="N47" s="160"/>
      <c r="O47" s="726"/>
      <c r="P47" s="726"/>
      <c r="Q47" s="726"/>
      <c r="R47" s="726"/>
      <c r="S47" s="726"/>
      <c r="T47" s="160"/>
      <c r="U47" s="726"/>
      <c r="V47" s="726"/>
      <c r="W47" s="726"/>
      <c r="X47" s="726"/>
      <c r="Y47" s="726"/>
      <c r="Z47" s="160"/>
      <c r="AA47" s="726"/>
      <c r="AB47" s="726"/>
      <c r="AC47" s="726"/>
      <c r="AD47" s="726"/>
      <c r="AE47" s="726"/>
      <c r="AF47" s="160"/>
      <c r="AG47" s="726"/>
      <c r="AH47" s="726"/>
      <c r="AI47" s="726"/>
      <c r="AJ47" s="726"/>
      <c r="AK47" s="726"/>
      <c r="AL47" s="160"/>
      <c r="AM47" s="726"/>
      <c r="AN47" s="726"/>
      <c r="AO47" s="726"/>
      <c r="AP47" s="726"/>
      <c r="AQ47" s="726"/>
      <c r="AR47" s="160"/>
      <c r="AS47" s="726"/>
      <c r="AT47" s="726"/>
      <c r="AU47" s="726"/>
      <c r="AV47" s="726"/>
      <c r="AW47" s="726"/>
    </row>
    <row r="48" spans="2:71" ht="14.85" customHeight="1">
      <c r="C48" s="726"/>
      <c r="D48" s="726"/>
      <c r="E48" s="726"/>
      <c r="F48" s="726"/>
      <c r="G48" s="726"/>
      <c r="H48" s="160"/>
      <c r="I48" s="726"/>
      <c r="J48" s="726"/>
      <c r="K48" s="726"/>
      <c r="L48" s="726"/>
      <c r="M48" s="726"/>
      <c r="N48" s="160"/>
      <c r="O48" s="726"/>
      <c r="P48" s="726"/>
      <c r="Q48" s="726"/>
      <c r="R48" s="726"/>
      <c r="S48" s="726"/>
      <c r="T48" s="160"/>
      <c r="U48" s="726"/>
      <c r="V48" s="726"/>
      <c r="W48" s="726"/>
      <c r="X48" s="726"/>
      <c r="Y48" s="726"/>
      <c r="Z48" s="160"/>
      <c r="AA48" s="726"/>
      <c r="AB48" s="726"/>
      <c r="AC48" s="726"/>
      <c r="AD48" s="726"/>
      <c r="AE48" s="726"/>
      <c r="AF48" s="160"/>
      <c r="AG48" s="726"/>
      <c r="AH48" s="726"/>
      <c r="AI48" s="726"/>
      <c r="AJ48" s="726"/>
      <c r="AK48" s="726"/>
      <c r="AL48" s="160"/>
      <c r="AM48" s="726"/>
      <c r="AN48" s="726"/>
      <c r="AO48" s="726"/>
      <c r="AP48" s="726"/>
      <c r="AQ48" s="726"/>
      <c r="AR48" s="160"/>
      <c r="AS48" s="726"/>
      <c r="AT48" s="726"/>
      <c r="AU48" s="726"/>
      <c r="AV48" s="726"/>
      <c r="AW48" s="726"/>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41"/>
      <c r="BD49" s="741"/>
      <c r="BE49" s="741"/>
      <c r="BF49" s="741"/>
      <c r="BG49" s="741"/>
      <c r="BH49" s="741"/>
      <c r="BI49" s="741"/>
      <c r="BJ49" s="741"/>
      <c r="BK49" s="741"/>
      <c r="BL49" s="741"/>
      <c r="BM49" s="741"/>
      <c r="BN49" s="741"/>
      <c r="BO49" s="741"/>
      <c r="BP49" s="741"/>
      <c r="BQ49" s="741"/>
      <c r="BR49" s="741"/>
      <c r="BS49" s="741"/>
    </row>
    <row r="50" spans="2:71" ht="14.85" customHeight="1"/>
    <row r="51" spans="2:71" ht="14.85" customHeight="1"/>
    <row r="52" spans="2:71" ht="17.100000000000001" customHeight="1">
      <c r="B52" s="745" t="s">
        <v>151</v>
      </c>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39" t="s">
        <v>134</v>
      </c>
      <c r="J54" s="739"/>
      <c r="K54" s="739"/>
      <c r="L54" s="739"/>
      <c r="M54" s="739"/>
      <c r="N54" s="161"/>
      <c r="O54" s="739" t="s">
        <v>2197</v>
      </c>
      <c r="P54" s="739"/>
      <c r="Q54" s="739"/>
      <c r="R54" s="739"/>
      <c r="S54" s="739"/>
      <c r="T54" s="161"/>
      <c r="U54" s="739" t="s">
        <v>133</v>
      </c>
      <c r="V54" s="739"/>
      <c r="W54" s="739"/>
      <c r="X54" s="739"/>
      <c r="Y54" s="739"/>
      <c r="Z54" s="161"/>
      <c r="AA54" s="739" t="s">
        <v>2198</v>
      </c>
      <c r="AB54" s="739"/>
      <c r="AC54" s="739"/>
      <c r="AD54" s="739"/>
      <c r="AE54" s="739"/>
      <c r="AF54" s="161"/>
      <c r="AG54" s="739" t="s">
        <v>2199</v>
      </c>
      <c r="AH54" s="739"/>
      <c r="AI54" s="739"/>
      <c r="AJ54" s="739"/>
      <c r="AK54" s="739"/>
      <c r="AL54" s="161"/>
      <c r="AM54" s="739" t="s">
        <v>130</v>
      </c>
      <c r="AN54" s="739"/>
      <c r="AO54" s="739"/>
      <c r="AP54" s="739"/>
      <c r="AQ54" s="739"/>
      <c r="AR54" s="161"/>
      <c r="AS54" s="739"/>
      <c r="AT54" s="739"/>
      <c r="AU54" s="739"/>
      <c r="AV54" s="739"/>
      <c r="AW54" s="739"/>
      <c r="AX54" s="20"/>
      <c r="BC54" s="740"/>
      <c r="BD54" s="740"/>
      <c r="BE54" s="740"/>
      <c r="BF54" s="740"/>
      <c r="BG54" s="740"/>
      <c r="BH54" s="740"/>
      <c r="BI54" s="740"/>
      <c r="BJ54" s="740"/>
      <c r="BK54" s="740"/>
      <c r="BL54" s="740"/>
      <c r="BM54" s="740"/>
      <c r="BN54" s="740"/>
      <c r="BO54" s="740"/>
      <c r="BP54" s="740"/>
      <c r="BQ54" s="740"/>
      <c r="BR54" s="740"/>
      <c r="BS54" s="740"/>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26"/>
      <c r="D56" s="726"/>
      <c r="E56" s="726"/>
      <c r="F56" s="726"/>
      <c r="G56" s="726"/>
      <c r="H56" s="160"/>
      <c r="I56" s="726"/>
      <c r="J56" s="726"/>
      <c r="K56" s="726"/>
      <c r="L56" s="726"/>
      <c r="M56" s="726"/>
      <c r="N56" s="160"/>
      <c r="O56" s="726"/>
      <c r="P56" s="726"/>
      <c r="Q56" s="726"/>
      <c r="R56" s="726"/>
      <c r="S56" s="726"/>
      <c r="T56" s="160"/>
      <c r="U56" s="726"/>
      <c r="V56" s="726"/>
      <c r="W56" s="726"/>
      <c r="X56" s="726"/>
      <c r="Y56" s="726"/>
      <c r="Z56" s="160"/>
      <c r="AA56" s="726"/>
      <c r="AB56" s="726"/>
      <c r="AC56" s="726"/>
      <c r="AD56" s="726"/>
      <c r="AE56" s="726"/>
      <c r="AF56" s="160"/>
      <c r="AG56" s="726"/>
      <c r="AH56" s="726"/>
      <c r="AI56" s="726"/>
      <c r="AJ56" s="726"/>
      <c r="AK56" s="726"/>
      <c r="AL56" s="160"/>
      <c r="AM56" s="726"/>
      <c r="AN56" s="726"/>
      <c r="AO56" s="726"/>
      <c r="AP56" s="726"/>
      <c r="AQ56" s="726"/>
      <c r="AR56" s="160"/>
      <c r="AS56" s="726"/>
      <c r="AT56" s="726"/>
      <c r="AU56" s="726"/>
      <c r="AV56" s="726"/>
      <c r="AW56" s="726"/>
    </row>
    <row r="57" spans="2:71" ht="14.85" customHeight="1">
      <c r="C57" s="726"/>
      <c r="D57" s="726"/>
      <c r="E57" s="726"/>
      <c r="F57" s="726"/>
      <c r="G57" s="726"/>
      <c r="H57" s="160"/>
      <c r="I57" s="726"/>
      <c r="J57" s="726"/>
      <c r="K57" s="726"/>
      <c r="L57" s="726"/>
      <c r="M57" s="726"/>
      <c r="N57" s="160"/>
      <c r="O57" s="726"/>
      <c r="P57" s="726"/>
      <c r="Q57" s="726"/>
      <c r="R57" s="726"/>
      <c r="S57" s="726"/>
      <c r="T57" s="160"/>
      <c r="U57" s="726"/>
      <c r="V57" s="726"/>
      <c r="W57" s="726"/>
      <c r="X57" s="726"/>
      <c r="Y57" s="726"/>
      <c r="Z57" s="160"/>
      <c r="AA57" s="726"/>
      <c r="AB57" s="726"/>
      <c r="AC57" s="726"/>
      <c r="AD57" s="726"/>
      <c r="AE57" s="726"/>
      <c r="AF57" s="160"/>
      <c r="AG57" s="726"/>
      <c r="AH57" s="726"/>
      <c r="AI57" s="726"/>
      <c r="AJ57" s="726"/>
      <c r="AK57" s="726"/>
      <c r="AL57" s="160"/>
      <c r="AM57" s="726"/>
      <c r="AN57" s="726"/>
      <c r="AO57" s="726"/>
      <c r="AP57" s="726"/>
      <c r="AQ57" s="726"/>
      <c r="AR57" s="160"/>
      <c r="AS57" s="726"/>
      <c r="AT57" s="726"/>
      <c r="AU57" s="726"/>
      <c r="AV57" s="726"/>
      <c r="AW57" s="726"/>
    </row>
    <row r="58" spans="2:71" ht="14.85" customHeight="1">
      <c r="C58" s="726"/>
      <c r="D58" s="726"/>
      <c r="E58" s="726"/>
      <c r="F58" s="726"/>
      <c r="G58" s="726"/>
      <c r="H58" s="160"/>
      <c r="I58" s="726"/>
      <c r="J58" s="726"/>
      <c r="K58" s="726"/>
      <c r="L58" s="726"/>
      <c r="M58" s="726"/>
      <c r="N58" s="160"/>
      <c r="O58" s="726"/>
      <c r="P58" s="726"/>
      <c r="Q58" s="726"/>
      <c r="R58" s="726"/>
      <c r="S58" s="726"/>
      <c r="T58" s="160"/>
      <c r="U58" s="726"/>
      <c r="V58" s="726"/>
      <c r="W58" s="726"/>
      <c r="X58" s="726"/>
      <c r="Y58" s="726"/>
      <c r="Z58" s="160"/>
      <c r="AA58" s="726"/>
      <c r="AB58" s="726"/>
      <c r="AC58" s="726"/>
      <c r="AD58" s="726"/>
      <c r="AE58" s="726"/>
      <c r="AF58" s="160"/>
      <c r="AG58" s="726"/>
      <c r="AH58" s="726"/>
      <c r="AI58" s="726"/>
      <c r="AJ58" s="726"/>
      <c r="AK58" s="726"/>
      <c r="AL58" s="160"/>
      <c r="AM58" s="726"/>
      <c r="AN58" s="726"/>
      <c r="AO58" s="726"/>
      <c r="AP58" s="726"/>
      <c r="AQ58" s="726"/>
      <c r="AR58" s="160"/>
      <c r="AS58" s="726"/>
      <c r="AT58" s="726"/>
      <c r="AU58" s="726"/>
      <c r="AV58" s="726"/>
      <c r="AW58" s="726"/>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41"/>
      <c r="BD59" s="741"/>
      <c r="BE59" s="741"/>
      <c r="BF59" s="741"/>
      <c r="BG59" s="741"/>
      <c r="BH59" s="741"/>
      <c r="BI59" s="741"/>
      <c r="BJ59" s="741"/>
      <c r="BK59" s="741"/>
      <c r="BL59" s="741"/>
      <c r="BM59" s="741"/>
      <c r="BN59" s="741"/>
      <c r="BO59" s="741"/>
      <c r="BP59" s="741"/>
      <c r="BQ59" s="741"/>
      <c r="BR59" s="741"/>
      <c r="BS59" s="741"/>
    </row>
    <row r="60" spans="2:71" ht="14.85" customHeight="1">
      <c r="Q60" s="565"/>
      <c r="R60" s="565"/>
      <c r="S60" s="565"/>
    </row>
    <row r="62" spans="2:71" ht="16.5" customHeight="1">
      <c r="B62" s="745" t="str">
        <f>'Translate&amp;Prices&amp;Logo'!$B$653</f>
        <v>Výplň rámčeka sieťka</v>
      </c>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row>
    <row r="66" spans="2:2" ht="16.5" customHeight="1">
      <c r="B66" s="1" t="str">
        <f>CONCATENATE('Translate&amp;Prices&amp;Logo'!B164," - ",'Translate&amp;Prices&amp;Logo'!$B$670)</f>
        <v>sieťka alu zlatá - rozmer oka 10x6x1 mm - priehľadnosť 67%</v>
      </c>
    </row>
    <row r="67" spans="2:2" ht="16.5" customHeight="1">
      <c r="B67" s="1" t="str">
        <f>CONCATENATE('Translate&amp;Prices&amp;Logo'!B165," - ",'Translate&amp;Prices&amp;Logo'!$B$669)</f>
        <v>sieťka ocel čierna mat - rozmer oka 8x4x1 mm - priehľadnosť 50%</v>
      </c>
    </row>
    <row r="68" spans="2:2" ht="16.5" customHeight="1">
      <c r="B68" s="1" t="str">
        <f>CONCATENATE('Translate&amp;Prices&amp;Logo'!B166," - ",'Translate&amp;Prices&amp;Logo'!$B$669)</f>
        <v>sieťka ocel biela - rozmer oka 8x4x1 mm - priehľadnosť 50%</v>
      </c>
    </row>
    <row r="69" spans="2:2" ht="16.5" customHeight="1">
      <c r="B69" s="1" t="str">
        <f>CONCATENATE('Translate&amp;Prices&amp;Logo'!B167," - ",'Translate&amp;Prices&amp;Logo'!$B$670)</f>
        <v>sieťka elox - rozmer oka 10x6x1 mm - priehľadnosť 67%</v>
      </c>
    </row>
  </sheetData>
  <sheetProtection algorithmName="SHA-512" hashValue="o/CMLwgY/5qrpoMuLKiWDB4Rk/L7JzyZ9RtU02nI+4JCMSVxESQmhsQUTJlL9DoT4QbLgN6lOnL9Zd7Zv8E38w==" saltValue="jqjxO93LOc0RkJgd0u1kkQ==" spinCount="100000" sheet="1" objects="1" scenarios="1"/>
  <mergeCells count="77">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4"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O1" s="733">
        <f ca="1">_souhrn!AM1</f>
        <v>46232</v>
      </c>
      <c r="AP1" s="565"/>
      <c r="AQ1" s="565"/>
      <c r="AR1" s="565"/>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41"/>
      <c r="AO2" s="542"/>
      <c r="AP2" s="542"/>
      <c r="AQ2" s="542"/>
      <c r="AR2" s="542"/>
      <c r="CK2" t="s">
        <v>2573</v>
      </c>
      <c r="CL2" t="s">
        <v>3270</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41"/>
      <c r="AO3" s="542"/>
      <c r="AP3" s="542"/>
      <c r="AQ3" s="542"/>
      <c r="AR3" s="542"/>
      <c r="CK3" t="s">
        <v>2574</v>
      </c>
      <c r="CL3" t="s">
        <v>2574</v>
      </c>
    </row>
    <row r="4" spans="1:90" ht="32.25" customHeight="1">
      <c r="X4" s="783">
        <f>IF(AND(Hlavní!V39=3,Zakaznik!K23="Dostawa na adres"),_souhrn!AH$7,_souhrn!AH$5)</f>
        <v>0</v>
      </c>
      <c r="Y4" s="784"/>
      <c r="Z4" s="784"/>
      <c r="AA4" s="784"/>
      <c r="AB4" s="784"/>
      <c r="AC4" s="784"/>
      <c r="AD4" s="784"/>
      <c r="AE4" s="784"/>
      <c r="AF4" s="785" t="str">
        <f>VLOOKUP('Translate&amp;Prices&amp;Logo'!D1,kombinace_1!$EV$1:$EW$6,2,0)</f>
        <v>€</v>
      </c>
      <c r="AG4" s="136"/>
      <c r="AH4" s="136"/>
      <c r="AI4" s="136"/>
      <c r="AJ4" s="136"/>
      <c r="AK4" s="136"/>
      <c r="AL4" s="136"/>
      <c r="AM4" s="136"/>
      <c r="AN4" s="137"/>
      <c r="AO4" s="136"/>
      <c r="AP4" s="136"/>
      <c r="AQ4" s="136"/>
      <c r="CK4" t="s">
        <v>1334</v>
      </c>
      <c r="CL4" t="s">
        <v>4343</v>
      </c>
    </row>
    <row r="5" spans="1:90" ht="14.85" customHeight="1">
      <c r="B5" s="748" t="s">
        <v>3585</v>
      </c>
      <c r="C5" s="748"/>
      <c r="D5" s="782">
        <f>Zakaznik!K23</f>
        <v>0</v>
      </c>
      <c r="E5" s="782"/>
      <c r="F5" s="782"/>
      <c r="G5" s="782"/>
      <c r="H5" s="782"/>
      <c r="I5" s="782"/>
      <c r="J5" s="782"/>
      <c r="K5" s="782"/>
      <c r="L5" s="29"/>
      <c r="M5" s="49" t="str">
        <f>IF(D5="Dostawa na adres",Zakaznik!E13,"")</f>
        <v/>
      </c>
      <c r="N5" s="49"/>
      <c r="O5" s="307" t="str">
        <f>IF(D5="Dostawa na adres",Zakaznik!K13,"")</f>
        <v/>
      </c>
      <c r="P5" s="307"/>
      <c r="Q5" s="307"/>
      <c r="R5" s="307"/>
      <c r="S5" s="307"/>
      <c r="T5" s="307"/>
      <c r="U5" s="307"/>
      <c r="V5" s="20"/>
      <c r="W5" s="20"/>
      <c r="X5" s="784"/>
      <c r="Y5" s="784"/>
      <c r="Z5" s="784"/>
      <c r="AA5" s="784"/>
      <c r="AB5" s="784"/>
      <c r="AC5" s="784"/>
      <c r="AD5" s="784"/>
      <c r="AE5" s="784"/>
      <c r="AF5" s="785"/>
      <c r="AG5" s="136"/>
      <c r="AH5" s="136"/>
      <c r="AI5" s="20"/>
      <c r="AJ5" s="20"/>
      <c r="AL5" s="29"/>
      <c r="AM5" s="29"/>
      <c r="AN5" s="29"/>
      <c r="AO5" s="29"/>
      <c r="CK5" t="s">
        <v>1339</v>
      </c>
      <c r="CL5" t="s">
        <v>4344</v>
      </c>
    </row>
    <row r="6" spans="1:90" ht="14.85" customHeight="1">
      <c r="B6" s="30"/>
      <c r="C6" s="30"/>
      <c r="D6" s="781" t="str">
        <f>IF(Zakaznik!$K$23="Dostawa na adres",Zakaznik!K25,"")</f>
        <v/>
      </c>
      <c r="E6" s="781"/>
      <c r="F6" s="781"/>
      <c r="G6" s="781"/>
      <c r="H6" s="781"/>
      <c r="I6" s="781"/>
      <c r="J6" s="781"/>
      <c r="K6" s="781"/>
      <c r="L6" s="29"/>
      <c r="M6" s="29"/>
      <c r="N6" s="29"/>
      <c r="O6" s="29"/>
      <c r="P6" s="29"/>
      <c r="Q6" s="308"/>
      <c r="R6" s="308"/>
      <c r="S6" s="308"/>
      <c r="T6" s="308"/>
      <c r="U6" s="308"/>
      <c r="V6" s="20"/>
      <c r="W6" s="20"/>
      <c r="Y6" s="29"/>
      <c r="Z6" s="29"/>
      <c r="AA6" s="29"/>
      <c r="AB6" s="29"/>
      <c r="AD6" s="20"/>
      <c r="AE6" s="20"/>
      <c r="AF6" s="20"/>
      <c r="AG6" s="20"/>
      <c r="AH6" s="20"/>
      <c r="AI6" s="20"/>
      <c r="AJ6" s="20"/>
      <c r="AL6" s="122"/>
      <c r="AM6" s="123"/>
      <c r="AN6" s="123"/>
      <c r="AO6" s="123"/>
      <c r="CK6" t="s">
        <v>2512</v>
      </c>
      <c r="CL6" t="s">
        <v>2512</v>
      </c>
    </row>
    <row r="7" spans="1:90" ht="14.85" customHeight="1">
      <c r="B7" s="30"/>
      <c r="C7" s="30"/>
      <c r="D7" s="781" t="str">
        <f>IF(Zakaznik!$K$23="Dostawa na adres",Zakaznik!K26,"")</f>
        <v/>
      </c>
      <c r="E7" s="781"/>
      <c r="F7" s="781"/>
      <c r="G7" s="781"/>
      <c r="H7" s="781"/>
      <c r="I7" s="781"/>
      <c r="J7" s="781"/>
      <c r="K7" s="781"/>
      <c r="L7" s="49"/>
      <c r="M7" s="49" t="str">
        <f>IF(D5="Dostawa na adres",Zakaznik!E17,"")</f>
        <v/>
      </c>
      <c r="N7" s="49"/>
      <c r="O7" s="49"/>
      <c r="Q7" s="746" t="str">
        <f>IF(D5="Dostawa na adres",Zakaznik!K17,"")</f>
        <v/>
      </c>
      <c r="R7" s="746"/>
      <c r="S7" s="746"/>
      <c r="T7" s="746"/>
      <c r="U7" s="746"/>
      <c r="V7" s="20"/>
      <c r="W7" s="20"/>
      <c r="X7" s="29"/>
      <c r="Y7" s="29"/>
      <c r="Z7" s="29"/>
      <c r="AA7" s="29"/>
      <c r="AB7" s="29"/>
      <c r="AC7" s="29"/>
      <c r="AD7" s="29"/>
      <c r="AE7" s="29"/>
      <c r="AF7" s="20"/>
      <c r="AG7" s="20"/>
      <c r="AH7" s="20"/>
      <c r="AI7" s="20"/>
      <c r="AJ7" s="20"/>
      <c r="AL7" s="123"/>
      <c r="AM7" s="123"/>
      <c r="AN7" s="123"/>
      <c r="AO7" s="123"/>
      <c r="CK7" t="s">
        <v>2513</v>
      </c>
      <c r="CL7" t="s">
        <v>2513</v>
      </c>
    </row>
    <row r="8" spans="1:90" ht="13.35" customHeight="1" thickBot="1">
      <c r="B8" s="30"/>
      <c r="C8" s="30"/>
      <c r="D8" s="781" t="str">
        <f>IF(Zakaznik!$K$23="Dostawa na adres",Zakaznik!K27,"")</f>
        <v/>
      </c>
      <c r="E8" s="781"/>
      <c r="F8" s="781"/>
      <c r="G8" s="781"/>
      <c r="H8" s="781"/>
      <c r="I8" s="781"/>
      <c r="J8" s="781"/>
      <c r="K8" s="781"/>
      <c r="L8" s="29"/>
      <c r="M8" s="29"/>
      <c r="N8" s="29"/>
      <c r="O8" s="29"/>
      <c r="P8" s="29"/>
      <c r="Q8" s="29"/>
      <c r="R8" s="29"/>
      <c r="S8" s="29"/>
      <c r="T8" s="29"/>
      <c r="U8" s="29"/>
      <c r="CK8" t="s">
        <v>1076</v>
      </c>
      <c r="CL8" t="s">
        <v>2539</v>
      </c>
    </row>
    <row r="9" spans="1:90" ht="35.1" customHeight="1" thickBot="1">
      <c r="J9" s="121"/>
      <c r="K9" s="121"/>
      <c r="L9" s="121"/>
      <c r="M9" s="121"/>
      <c r="N9" s="121"/>
      <c r="O9" s="121"/>
      <c r="P9" s="121"/>
      <c r="Q9" s="121"/>
      <c r="R9" s="121"/>
      <c r="S9" s="121"/>
      <c r="T9" s="121"/>
      <c r="U9" s="121"/>
      <c r="V9" s="121"/>
      <c r="W9" s="755" t="str">
        <f>'Translate&amp;Prices&amp;Logo'!$O$256</f>
        <v>Numer zamówienia</v>
      </c>
      <c r="X9" s="755"/>
      <c r="Y9" s="755"/>
      <c r="Z9" s="755"/>
      <c r="AA9" s="755"/>
      <c r="AB9" s="56"/>
      <c r="AC9" s="752">
        <f>Ram_1!AS5</f>
        <v>0</v>
      </c>
      <c r="AD9" s="753"/>
      <c r="AE9" s="753"/>
      <c r="AF9" s="753"/>
      <c r="AG9" s="753"/>
      <c r="AH9" s="753"/>
      <c r="AI9" s="753"/>
      <c r="AJ9" s="753"/>
      <c r="AK9" s="753"/>
      <c r="AL9" s="753"/>
      <c r="AM9" s="753"/>
      <c r="AN9" s="753"/>
      <c r="AO9" s="754"/>
      <c r="AR9" s="766" t="s">
        <v>1606</v>
      </c>
      <c r="CK9" t="s">
        <v>1084</v>
      </c>
      <c r="CL9" t="s">
        <v>2542</v>
      </c>
    </row>
    <row r="10" spans="1:90" ht="16.350000000000001" customHeight="1">
      <c r="A10" s="747" t="str">
        <f>CONCATENATE(AC9,"   ",(IF(X4&gt;0,ROUND(X4,2)&amp;" "&amp;AF4,"")))</f>
        <v xml:space="preserve">0   </v>
      </c>
      <c r="B10" s="747"/>
      <c r="W10" s="751" t="str">
        <f>'Translate&amp;Prices&amp;Logo'!$O$542</f>
        <v>Połączenie 2 profili</v>
      </c>
      <c r="X10" s="751"/>
      <c r="Y10" s="751"/>
      <c r="Z10" s="751"/>
      <c r="AA10" s="751"/>
      <c r="AB10" s="56"/>
      <c r="AC10" s="765" t="str">
        <f>IF(kombinace_1!$H$1=TRUE,"Tak","Nie")</f>
        <v>Nie</v>
      </c>
      <c r="AD10" s="765"/>
      <c r="AE10" s="765"/>
      <c r="AF10" s="765"/>
      <c r="AG10" s="765"/>
      <c r="AH10" s="765"/>
      <c r="AI10" s="765"/>
      <c r="AJ10" s="765"/>
      <c r="AK10" s="765"/>
      <c r="AL10" s="765"/>
      <c r="AM10" s="765"/>
      <c r="AN10" s="765"/>
      <c r="AO10" s="765"/>
      <c r="AR10" s="766"/>
      <c r="CK10" t="s">
        <v>1090</v>
      </c>
      <c r="CL10" t="s">
        <v>1090</v>
      </c>
    </row>
    <row r="11" spans="1:90" ht="16.350000000000001" customHeight="1">
      <c r="A11" s="747"/>
      <c r="B11" s="747"/>
      <c r="W11" s="751" t="str">
        <f>'Translate&amp;Prices&amp;Logo'!$O$172</f>
        <v>Rodzaj profilu</v>
      </c>
      <c r="X11" s="751"/>
      <c r="Y11" s="751"/>
      <c r="Z11" s="751"/>
      <c r="AA11" s="751"/>
      <c r="AB11" s="56"/>
      <c r="AC11" s="750">
        <f>IFERROR(VLOOKUP(Ram_1!$H$8,'Translate&amp;Prices&amp;Logo'!$AA$1:$AB$312,2,0),Ram_1!$H$8)</f>
        <v>0</v>
      </c>
      <c r="AD11" s="750"/>
      <c r="AE11" s="750"/>
      <c r="AF11" s="750"/>
      <c r="AG11" s="750"/>
      <c r="AH11" s="750"/>
      <c r="AI11" s="750"/>
      <c r="AJ11" s="750"/>
      <c r="AK11" s="750"/>
      <c r="AL11" s="750"/>
      <c r="AM11" s="750"/>
      <c r="AN11" s="750"/>
      <c r="AO11" s="750"/>
      <c r="AR11" s="766"/>
      <c r="CK11" t="s">
        <v>1333</v>
      </c>
      <c r="CL11" t="s">
        <v>3080</v>
      </c>
    </row>
    <row r="12" spans="1:90" ht="16.350000000000001" customHeight="1">
      <c r="A12" s="747"/>
      <c r="B12" s="747"/>
      <c r="W12" s="751" t="str">
        <f>'Translate&amp;Prices&amp;Logo'!$O$543</f>
        <v>Szprosy</v>
      </c>
      <c r="X12" s="751"/>
      <c r="Y12" s="751"/>
      <c r="Z12" s="751"/>
      <c r="AA12" s="751"/>
      <c r="AB12" s="56"/>
      <c r="AC12" s="750" t="str" cm="1">
        <f t="array" ref="AC12">IFERROR(VLOOKUP(Ram_1!$AU$10,AU12:AV15,2,0),Nie)</f>
        <v>Nie</v>
      </c>
      <c r="AD12" s="750"/>
      <c r="AE12" s="750"/>
      <c r="AF12" s="750"/>
      <c r="AG12" s="750"/>
      <c r="AH12" s="750"/>
      <c r="AI12" s="750"/>
      <c r="AJ12" s="750"/>
      <c r="AK12" s="750"/>
      <c r="AL12" s="750"/>
      <c r="AM12" s="750"/>
      <c r="AN12" s="750"/>
      <c r="AO12" s="750"/>
      <c r="AR12" s="766"/>
      <c r="AU12">
        <v>0</v>
      </c>
      <c r="AV12" t="str">
        <f>'Translate&amp;Prices&amp;Logo'!$O$557</f>
        <v>Nie</v>
      </c>
      <c r="AZ12">
        <v>2</v>
      </c>
      <c r="BA12" t="str">
        <f>'Translate&amp;Prices&amp;Logo'!$O$551</f>
        <v>Zawiasy</v>
      </c>
      <c r="BD12" s="1" t="s">
        <v>68</v>
      </c>
      <c r="BE12" s="1" t="s">
        <v>220</v>
      </c>
      <c r="BI12" s="1" t="s">
        <v>52</v>
      </c>
      <c r="BJ12" s="1" t="s">
        <v>214</v>
      </c>
      <c r="BM12" s="1" t="s">
        <v>105</v>
      </c>
      <c r="BN12" s="1" t="s">
        <v>251</v>
      </c>
      <c r="BX12" s="1">
        <v>1</v>
      </c>
      <c r="BY12" s="1" t="str">
        <f>'Translate&amp;Prices&amp;Logo'!$O$100</f>
        <v>Bez modyfikacji</v>
      </c>
      <c r="CA12" t="s">
        <v>953</v>
      </c>
      <c r="CB12" t="s">
        <v>1320</v>
      </c>
      <c r="CK12" t="s">
        <v>1338</v>
      </c>
      <c r="CL12" t="s">
        <v>3081</v>
      </c>
    </row>
    <row r="13" spans="1:90" ht="16.350000000000001" customHeight="1">
      <c r="A13" s="747"/>
      <c r="B13" s="747"/>
      <c r="W13" s="126"/>
      <c r="X13" s="126"/>
      <c r="Y13" s="126"/>
      <c r="Z13" s="126"/>
      <c r="AA13" s="126"/>
      <c r="AB13" s="56"/>
      <c r="AC13" s="767" t="str">
        <f>IF(OR(Ram_1!$AU$10=1,Ram_1!$AU$10=3),'Translate&amp;Prices&amp;Logo'!O558,"")</f>
        <v/>
      </c>
      <c r="AD13" s="767"/>
      <c r="AE13" s="767"/>
      <c r="AF13" s="767"/>
      <c r="AG13" s="767"/>
      <c r="AH13" s="767"/>
      <c r="AI13" s="767"/>
      <c r="AJ13" s="767" t="str">
        <f>IF(OR(Ram_1!$AU$10=2,Ram_1!$AU$10=3),'Translate&amp;Prices&amp;Logo'!O559,"")</f>
        <v/>
      </c>
      <c r="AK13" s="767"/>
      <c r="AL13" s="767"/>
      <c r="AM13" s="767"/>
      <c r="AN13" s="767"/>
      <c r="AO13" s="767"/>
      <c r="AR13" s="766"/>
      <c r="AU13">
        <v>1</v>
      </c>
      <c r="AV13" t="str">
        <f>'Translate&amp;Prices&amp;Logo'!$O$558</f>
        <v>Poziomo (termin dostawy 4 tygodnie)</v>
      </c>
      <c r="AZ13">
        <v>3</v>
      </c>
      <c r="BA13" t="str">
        <f>'Translate&amp;Prices&amp;Logo'!$O$552</f>
        <v>Podnośniki</v>
      </c>
      <c r="BD13" s="1" t="s">
        <v>69</v>
      </c>
      <c r="BE13" s="1" t="s">
        <v>221</v>
      </c>
      <c r="BI13" s="1" t="s">
        <v>51</v>
      </c>
      <c r="BJ13" s="1" t="s">
        <v>215</v>
      </c>
      <c r="BM13" s="1" t="s">
        <v>106</v>
      </c>
      <c r="BN13" s="1" t="s">
        <v>252</v>
      </c>
      <c r="BX13" s="1">
        <v>2</v>
      </c>
      <c r="BY13" s="1" t="str">
        <f>'Translate&amp;Prices&amp;Logo'!$O$101</f>
        <v>Hartowane</v>
      </c>
      <c r="CA13" t="s">
        <v>956</v>
      </c>
      <c r="CB13" t="s">
        <v>1321</v>
      </c>
      <c r="CK13" t="s">
        <v>1077</v>
      </c>
      <c r="CL13" t="s">
        <v>2979</v>
      </c>
    </row>
    <row r="14" spans="1:90" ht="16.350000000000001" customHeight="1">
      <c r="A14" s="747"/>
      <c r="B14" s="747"/>
      <c r="W14" s="751" t="str">
        <f>('Translate&amp;Prices&amp;Logo'!$O$543)&amp;" "&amp;"("&amp;'Translate&amp;Prices&amp;Logo'!$O$174&amp;")"</f>
        <v>Szprosy (Ilość sztuk)</v>
      </c>
      <c r="X14" s="751"/>
      <c r="Y14" s="751"/>
      <c r="Z14" s="751"/>
      <c r="AA14" s="751"/>
      <c r="AB14" s="56"/>
      <c r="AC14" s="750">
        <f>Ram_1!$H$11</f>
        <v>0</v>
      </c>
      <c r="AD14" s="750"/>
      <c r="AE14" s="750"/>
      <c r="AF14" s="750"/>
      <c r="AG14" s="750"/>
      <c r="AH14" s="750"/>
      <c r="AI14" s="750"/>
      <c r="AJ14" s="750">
        <f>Ram_1!$M$11</f>
        <v>0</v>
      </c>
      <c r="AK14" s="750"/>
      <c r="AL14" s="750"/>
      <c r="AM14" s="750"/>
      <c r="AN14" s="750"/>
      <c r="AO14" s="750"/>
      <c r="AR14" s="766"/>
      <c r="AU14">
        <v>2</v>
      </c>
      <c r="AV14" t="str">
        <f>'Translate&amp;Prices&amp;Logo'!$O$559</f>
        <v>Pionowo (termin dostawy 4 tygodnie)</v>
      </c>
      <c r="BD14" s="1" t="s">
        <v>70</v>
      </c>
      <c r="BE14" s="1" t="s">
        <v>1145</v>
      </c>
      <c r="BI14" s="1" t="s">
        <v>158</v>
      </c>
      <c r="BJ14" s="1" t="s">
        <v>214</v>
      </c>
      <c r="BM14" s="1" t="s">
        <v>108</v>
      </c>
      <c r="BN14" s="1" t="s">
        <v>253</v>
      </c>
      <c r="BX14" s="1">
        <v>3</v>
      </c>
      <c r="BY14" s="1" t="str">
        <f>'Translate&amp;Prices&amp;Logo'!$O$102</f>
        <v>Folia</v>
      </c>
      <c r="CA14" t="s">
        <v>959</v>
      </c>
      <c r="CB14" t="s">
        <v>1322</v>
      </c>
      <c r="CK14" t="s">
        <v>1085</v>
      </c>
      <c r="CL14" t="s">
        <v>2980</v>
      </c>
    </row>
    <row r="15" spans="1:90" ht="16.350000000000001" customHeight="1">
      <c r="A15" s="747"/>
      <c r="B15" s="747"/>
      <c r="W15" s="751" t="str">
        <f>'Translate&amp;Prices&amp;Logo'!$O$258</f>
        <v>Typ okucia</v>
      </c>
      <c r="X15" s="751"/>
      <c r="Y15" s="751"/>
      <c r="Z15" s="751"/>
      <c r="AA15" s="751"/>
      <c r="AB15" s="56"/>
      <c r="AC15" s="750" t="str">
        <f>IFERROR(VLOOKUP(Ram_1!$AU$9,AZ12:BA13,2,0),Ram_1!$AU$9)</f>
        <v/>
      </c>
      <c r="AD15" s="750"/>
      <c r="AE15" s="750"/>
      <c r="AF15" s="750"/>
      <c r="AG15" s="750"/>
      <c r="AH15" s="750"/>
      <c r="AI15" s="750"/>
      <c r="AJ15" s="750"/>
      <c r="AK15" s="750"/>
      <c r="AL15" s="750"/>
      <c r="AM15" s="750"/>
      <c r="AN15" s="750"/>
      <c r="AO15" s="750"/>
      <c r="AR15" s="766"/>
      <c r="AU15">
        <v>3</v>
      </c>
      <c r="AV15" t="str">
        <f>'Translate&amp;Prices&amp;Logo'!$O$560</f>
        <v>Poziomo i pionowo (termin dostawy 4 tygodnie)</v>
      </c>
      <c r="BD15" s="1" t="s">
        <v>68</v>
      </c>
      <c r="BE15" s="1" t="s">
        <v>220</v>
      </c>
      <c r="BI15" s="1" t="s">
        <v>159</v>
      </c>
      <c r="BJ15" s="1" t="s">
        <v>215</v>
      </c>
      <c r="BM15" s="1" t="s">
        <v>107</v>
      </c>
      <c r="BN15" s="1" t="s">
        <v>254</v>
      </c>
      <c r="CA15" t="s">
        <v>1210</v>
      </c>
      <c r="CB15" t="s">
        <v>1320</v>
      </c>
      <c r="CK15" t="s">
        <v>1078</v>
      </c>
      <c r="CL15" t="s">
        <v>3272</v>
      </c>
    </row>
    <row r="16" spans="1:90" ht="16.350000000000001" customHeight="1">
      <c r="A16" s="747"/>
      <c r="B16" s="747"/>
      <c r="W16" s="751" t="str">
        <f>'Translate&amp;Prices&amp;Logo'!$O$544</f>
        <v>Marka okucia</v>
      </c>
      <c r="X16" s="751"/>
      <c r="Y16" s="751"/>
      <c r="Z16" s="751"/>
      <c r="AA16" s="751"/>
      <c r="AB16" s="56"/>
      <c r="AC16" s="750">
        <f>Ram_1!$H$13</f>
        <v>0</v>
      </c>
      <c r="AD16" s="750"/>
      <c r="AE16" s="750"/>
      <c r="AF16" s="750"/>
      <c r="AG16" s="750"/>
      <c r="AH16" s="750"/>
      <c r="AI16" s="750"/>
      <c r="AJ16" s="750"/>
      <c r="AK16" s="750"/>
      <c r="AL16" s="750"/>
      <c r="AM16" s="750"/>
      <c r="AN16" s="750"/>
      <c r="AO16" s="750"/>
      <c r="AR16" s="766"/>
      <c r="BD16" s="1" t="s">
        <v>69</v>
      </c>
      <c r="BE16" s="1" t="s">
        <v>221</v>
      </c>
      <c r="BI16" s="1" t="s">
        <v>408</v>
      </c>
      <c r="BJ16" s="1" t="s">
        <v>214</v>
      </c>
      <c r="BM16" s="1" t="s">
        <v>109</v>
      </c>
      <c r="BN16" s="1" t="s">
        <v>1306</v>
      </c>
      <c r="CA16" t="s">
        <v>1211</v>
      </c>
      <c r="CB16" t="s">
        <v>1321</v>
      </c>
      <c r="CK16" t="s">
        <v>1058</v>
      </c>
      <c r="CL16" t="s">
        <v>3273</v>
      </c>
    </row>
    <row r="17" spans="1:90" ht="16.350000000000001" customHeight="1" thickBot="1">
      <c r="A17" s="747"/>
      <c r="B17" s="747"/>
      <c r="W17" s="751" t="str">
        <f>'Translate&amp;Prices&amp;Logo'!$O$546</f>
        <v>Nałożenie</v>
      </c>
      <c r="X17" s="751"/>
      <c r="Y17" s="751"/>
      <c r="Z17" s="751"/>
      <c r="AA17" s="751"/>
      <c r="AB17" s="56"/>
      <c r="AC17" s="750">
        <f>IFERROR(VLOOKUP(Ram_1!$H$14,$BD$12:$BE$29,2,0),0)</f>
        <v>0</v>
      </c>
      <c r="AD17" s="750"/>
      <c r="AE17" s="750"/>
      <c r="AF17" s="750"/>
      <c r="AG17" s="750"/>
      <c r="AH17" s="750"/>
      <c r="AI17" s="750"/>
      <c r="AJ17" s="750"/>
      <c r="AK17" s="750"/>
      <c r="AL17" s="750"/>
      <c r="AM17" s="750"/>
      <c r="AN17" s="750"/>
      <c r="AO17" s="750"/>
      <c r="AR17" s="766"/>
      <c r="BD17" s="1" t="s">
        <v>70</v>
      </c>
      <c r="BE17" s="1" t="s">
        <v>1145</v>
      </c>
      <c r="BI17" s="1" t="s">
        <v>281</v>
      </c>
      <c r="BJ17" s="1" t="s">
        <v>215</v>
      </c>
      <c r="BM17" s="1" t="s">
        <v>191</v>
      </c>
      <c r="BN17" s="1" t="s">
        <v>251</v>
      </c>
      <c r="CA17" t="s">
        <v>1212</v>
      </c>
      <c r="CB17" t="s">
        <v>1322</v>
      </c>
      <c r="CK17" t="s">
        <v>1067</v>
      </c>
      <c r="CL17" t="s">
        <v>1067</v>
      </c>
    </row>
    <row r="18" spans="1:90" ht="16.350000000000001" customHeight="1">
      <c r="A18" s="747"/>
      <c r="B18" s="747"/>
      <c r="S18" s="761">
        <f>Ram_1!AR14</f>
        <v>0</v>
      </c>
      <c r="W18" s="751" t="str">
        <f>'Translate&amp;Prices&amp;Logo'!$O$545</f>
        <v>Wariant okucia</v>
      </c>
      <c r="X18" s="751"/>
      <c r="Y18" s="751"/>
      <c r="Z18" s="751"/>
      <c r="AA18" s="751"/>
      <c r="AB18" s="56"/>
      <c r="AC18" s="777">
        <f>IFERROR(VLOOKUP(Ram_1!$H$15,kombinace_1!$ED$2:$EE$758,2,0),Ram_1!$H$15)</f>
        <v>0</v>
      </c>
      <c r="AD18" s="777"/>
      <c r="AE18" s="777"/>
      <c r="AF18" s="777"/>
      <c r="AG18" s="777"/>
      <c r="AH18" s="777"/>
      <c r="AI18" s="777"/>
      <c r="AJ18" s="750" t="str">
        <f>IF(AC18='Translate&amp;Prices&amp;Logo'!C698,VLOOKUP(Ram_1!H17,'Translate&amp;Prices&amp;Logo'!C699:D746,2,0),"")</f>
        <v/>
      </c>
      <c r="AK18" s="750"/>
      <c r="AL18" s="750"/>
      <c r="AM18" s="750"/>
      <c r="AN18" s="750"/>
      <c r="AO18" s="750"/>
      <c r="AR18" s="766"/>
      <c r="BD18" s="1" t="s">
        <v>220</v>
      </c>
      <c r="BE18" s="1" t="s">
        <v>220</v>
      </c>
      <c r="BI18" s="1" t="s">
        <v>1348</v>
      </c>
      <c r="BJ18" s="1" t="s">
        <v>214</v>
      </c>
      <c r="BM18" s="1" t="s">
        <v>192</v>
      </c>
      <c r="BN18" s="1" t="s">
        <v>252</v>
      </c>
      <c r="CA18" t="s">
        <v>1320</v>
      </c>
      <c r="CB18" t="s">
        <v>1320</v>
      </c>
      <c r="CK18" t="s">
        <v>1086</v>
      </c>
      <c r="CL18" t="s">
        <v>3271</v>
      </c>
    </row>
    <row r="19" spans="1:90" ht="16.350000000000001" customHeight="1">
      <c r="A19" s="747"/>
      <c r="B19" s="747"/>
      <c r="S19" s="762">
        <f>Ram_1!AR15</f>
        <v>0</v>
      </c>
      <c r="W19" s="751" t="str">
        <f>'Translate&amp;Prices&amp;Logo'!$O$218</f>
        <v>Wybierz pozycję ramki</v>
      </c>
      <c r="X19" s="751"/>
      <c r="Y19" s="751"/>
      <c r="Z19" s="751"/>
      <c r="AA19" s="751"/>
      <c r="AB19" s="750">
        <f>IFERROR(VLOOKUP(Ram_1!$F$16,BI12:BJ23,2,0),0)</f>
        <v>0</v>
      </c>
      <c r="AC19" s="750"/>
      <c r="AD19" s="750"/>
      <c r="AE19" s="750"/>
      <c r="AF19" s="750"/>
      <c r="AG19" s="778" t="str">
        <f>'Translate&amp;Prices&amp;Logo'!$O$232</f>
        <v>Rodzaj drugiej ramki</v>
      </c>
      <c r="AH19" s="778"/>
      <c r="AI19" s="778"/>
      <c r="AJ19" s="750">
        <f>IFERROR(VLOOKUP(Ram_1!$N$16,BM12:BN41,2,0),0)</f>
        <v>0</v>
      </c>
      <c r="AK19" s="750"/>
      <c r="AL19" s="750"/>
      <c r="AM19" s="750"/>
      <c r="AN19" s="750"/>
      <c r="AO19" s="750"/>
      <c r="AR19" s="766"/>
      <c r="BD19" s="1" t="s">
        <v>221</v>
      </c>
      <c r="BE19" s="1" t="s">
        <v>221</v>
      </c>
      <c r="BI19" s="1" t="s">
        <v>1349</v>
      </c>
      <c r="BJ19" s="1" t="s">
        <v>215</v>
      </c>
      <c r="BM19" s="1" t="s">
        <v>193</v>
      </c>
      <c r="BN19" s="1" t="s">
        <v>253</v>
      </c>
      <c r="CA19" t="s">
        <v>1321</v>
      </c>
      <c r="CB19" t="s">
        <v>1321</v>
      </c>
      <c r="CK19" t="s">
        <v>1081</v>
      </c>
      <c r="CL19" t="s">
        <v>2541</v>
      </c>
    </row>
    <row r="20" spans="1:90" ht="16.350000000000001" customHeight="1">
      <c r="A20" s="747"/>
      <c r="B20" s="747"/>
      <c r="S20" s="762">
        <f>Ram_1!AR16</f>
        <v>0</v>
      </c>
      <c r="W20" s="751" t="str">
        <f>IF(AC15='Translate&amp;Prices&amp;Logo'!O551,'Translate&amp;Prices&amp;Logo'!O238,'Translate&amp;Prices&amp;Logo'!$O$226)</f>
        <v>Umieszczenie</v>
      </c>
      <c r="X20" s="751"/>
      <c r="Y20" s="751"/>
      <c r="Z20" s="751"/>
      <c r="AA20" s="751"/>
      <c r="AB20" s="56"/>
      <c r="AC20" s="779" t="str">
        <f>IFERROR((IF(Ram_1!H12='Translate&amp;Prices&amp;Logo'!B552,VLOOKUP(Ram_1!$N$16,BM42:BN71,2,0),VLOOKUP(Ram_1!$H$17,BM42:BN65,2,0))),"")</f>
        <v/>
      </c>
      <c r="AD20" s="779"/>
      <c r="AE20" s="779"/>
      <c r="AF20" s="779"/>
      <c r="AG20" s="779"/>
      <c r="AH20" s="779"/>
      <c r="AI20" s="779"/>
      <c r="AJ20" s="779"/>
      <c r="AK20" s="779"/>
      <c r="AL20" s="779"/>
      <c r="AM20" s="779"/>
      <c r="AN20" s="779"/>
      <c r="AO20" s="779"/>
      <c r="AR20" s="766"/>
      <c r="BD20" s="1" t="s">
        <v>1145</v>
      </c>
      <c r="BE20" s="1" t="s">
        <v>1145</v>
      </c>
      <c r="BI20" s="1" t="s">
        <v>214</v>
      </c>
      <c r="BJ20" s="1" t="s">
        <v>214</v>
      </c>
      <c r="BM20" s="1" t="s">
        <v>194</v>
      </c>
      <c r="BN20" s="1" t="s">
        <v>254</v>
      </c>
      <c r="CA20" t="s">
        <v>1322</v>
      </c>
      <c r="CB20" t="s">
        <v>1322</v>
      </c>
      <c r="CK20" t="s">
        <v>1061</v>
      </c>
      <c r="CL20" t="s">
        <v>1061</v>
      </c>
    </row>
    <row r="21" spans="1:90" ht="16.350000000000001" customHeight="1">
      <c r="A21" s="747"/>
      <c r="B21" s="747"/>
      <c r="S21" s="762">
        <f>Ram_1!AR17</f>
        <v>0</v>
      </c>
      <c r="W21" s="751" t="str">
        <f>'Translate&amp;Prices&amp;Logo'!$O$547</f>
        <v>Zawiasy do podnośników</v>
      </c>
      <c r="X21" s="751"/>
      <c r="Y21" s="751"/>
      <c r="Z21" s="751"/>
      <c r="AA21" s="751"/>
      <c r="AB21" s="56"/>
      <c r="AC21" s="750">
        <f>IFERROR((VLOOKUP(Ram_1!$H$18,$CK$2:$CL$90,2,0)),Ram_1!$H$18)</f>
        <v>0</v>
      </c>
      <c r="AD21" s="750"/>
      <c r="AE21" s="750"/>
      <c r="AF21" s="750"/>
      <c r="AG21" s="750"/>
      <c r="AH21" s="750"/>
      <c r="AI21" s="750"/>
      <c r="AJ21" s="750"/>
      <c r="AK21" s="750"/>
      <c r="AL21" s="750"/>
      <c r="AM21" s="750"/>
      <c r="AN21" s="750"/>
      <c r="AO21" s="750"/>
      <c r="AR21" s="766"/>
      <c r="AV21" s="1">
        <f>Ram_1!$H$18</f>
        <v>0</v>
      </c>
      <c r="BD21" s="1" t="s">
        <v>284</v>
      </c>
      <c r="BE21" s="1" t="s">
        <v>220</v>
      </c>
      <c r="BI21" s="1" t="s">
        <v>215</v>
      </c>
      <c r="BJ21" s="1" t="s">
        <v>215</v>
      </c>
      <c r="BM21" s="1" t="s">
        <v>195</v>
      </c>
      <c r="BN21" s="1" t="s">
        <v>1306</v>
      </c>
      <c r="CA21" t="s">
        <v>1213</v>
      </c>
      <c r="CB21" t="s">
        <v>1320</v>
      </c>
      <c r="CK21" t="s">
        <v>1087</v>
      </c>
      <c r="CL21" t="s">
        <v>3274</v>
      </c>
    </row>
    <row r="22" spans="1:90" ht="16.350000000000001" customHeight="1">
      <c r="A22" s="747"/>
      <c r="B22" s="747"/>
      <c r="S22" s="762">
        <f>Ram_1!AR18</f>
        <v>0</v>
      </c>
      <c r="W22" s="751" t="str">
        <f>'Translate&amp;Prices&amp;Logo'!$O$223</f>
        <v>Ilość zawiasów na 1 ramkę</v>
      </c>
      <c r="X22" s="751"/>
      <c r="Y22" s="751"/>
      <c r="Z22" s="751"/>
      <c r="AA22" s="751"/>
      <c r="AB22" s="56"/>
      <c r="AC22" s="750">
        <f>Ram_1!$H$19</f>
        <v>0</v>
      </c>
      <c r="AD22" s="750"/>
      <c r="AE22" s="750"/>
      <c r="AF22" s="750"/>
      <c r="AG22" s="750"/>
      <c r="AH22" s="750"/>
      <c r="AI22" s="750"/>
      <c r="AJ22" s="750"/>
      <c r="AK22" s="750"/>
      <c r="AL22" s="750"/>
      <c r="AM22" s="750"/>
      <c r="AN22" s="750"/>
      <c r="AO22" s="750"/>
      <c r="AR22" s="766"/>
      <c r="BD22" s="1" t="s">
        <v>285</v>
      </c>
      <c r="BE22" s="1" t="s">
        <v>221</v>
      </c>
      <c r="BI22" s="325" t="s">
        <v>3837</v>
      </c>
      <c r="BJ22" s="1" t="s">
        <v>214</v>
      </c>
      <c r="BM22" s="1" t="s">
        <v>251</v>
      </c>
      <c r="BN22" s="1" t="s">
        <v>251</v>
      </c>
      <c r="CA22" t="s">
        <v>1295</v>
      </c>
      <c r="CB22" t="s">
        <v>1321</v>
      </c>
      <c r="CK22" t="s">
        <v>1088</v>
      </c>
      <c r="CL22" t="s">
        <v>2544</v>
      </c>
    </row>
    <row r="23" spans="1:90" ht="16.350000000000001" customHeight="1">
      <c r="A23" s="747"/>
      <c r="B23" s="747"/>
      <c r="S23" s="763" t="str">
        <f>'Translate&amp;Prices&amp;Logo'!$O$176</f>
        <v>Wysokość</v>
      </c>
      <c r="W23" s="751" t="str">
        <f>IFERROR(('Translate&amp;Prices&amp;Logo'!$O$242&amp;" "&amp;VLOOKUP(Ram_1!H17,kombinace_1!BY32:CD35,5,0)),"")</f>
        <v/>
      </c>
      <c r="X23" s="751"/>
      <c r="Y23" s="751"/>
      <c r="Z23" s="751"/>
      <c r="AA23" s="751"/>
      <c r="AB23" s="750">
        <f>Ram_1!$F$20</f>
        <v>100</v>
      </c>
      <c r="AC23" s="750"/>
      <c r="AD23" s="750"/>
      <c r="AE23" s="750"/>
      <c r="AF23" s="750"/>
      <c r="AG23" s="751" t="str">
        <f>IFERROR(('Translate&amp;Prices&amp;Logo'!$O$242&amp;" "&amp;VLOOKUP(Ram_1!H17,kombinace_1!$BY$32:$CD$35,6,0)),"")</f>
        <v/>
      </c>
      <c r="AH23" s="751"/>
      <c r="AI23" s="751"/>
      <c r="AJ23" s="751"/>
      <c r="AK23" s="751"/>
      <c r="AL23" s="750">
        <f>Ram_1!$N$20</f>
        <v>100</v>
      </c>
      <c r="AM23" s="750"/>
      <c r="AN23" s="750"/>
      <c r="AO23" s="750"/>
      <c r="AR23" s="766"/>
      <c r="BD23" s="1" t="s">
        <v>286</v>
      </c>
      <c r="BE23" s="1" t="s">
        <v>1145</v>
      </c>
      <c r="BI23" s="325" t="s">
        <v>3838</v>
      </c>
      <c r="BJ23" s="1" t="s">
        <v>215</v>
      </c>
      <c r="BM23" s="1" t="s">
        <v>252</v>
      </c>
      <c r="BN23" s="1" t="s">
        <v>252</v>
      </c>
      <c r="CA23" t="s">
        <v>1214</v>
      </c>
      <c r="CB23" t="s">
        <v>1322</v>
      </c>
      <c r="CK23" t="s">
        <v>1336</v>
      </c>
      <c r="CL23" t="s">
        <v>3082</v>
      </c>
    </row>
    <row r="24" spans="1:90" ht="16.350000000000001" customHeight="1">
      <c r="A24" s="747"/>
      <c r="B24" s="747"/>
      <c r="S24" s="763">
        <f>Ram_1!AR20</f>
        <v>0</v>
      </c>
      <c r="W24" s="751" t="str">
        <f>'Translate&amp;Prices&amp;Logo'!$O$653</f>
        <v>Wypełnienie z siatki</v>
      </c>
      <c r="X24" s="751"/>
      <c r="Y24" s="751"/>
      <c r="Z24" s="751"/>
      <c r="AA24" s="751"/>
      <c r="AB24" s="56"/>
      <c r="AC24" s="749" t="str">
        <f>IF(kombinace_1!FC2=TRUE,"Tak","Nie")</f>
        <v>Nie</v>
      </c>
      <c r="AD24" s="749"/>
      <c r="AE24" s="749"/>
      <c r="AF24" s="749"/>
      <c r="AG24" s="749"/>
      <c r="AH24" s="749"/>
      <c r="AI24" s="749"/>
      <c r="AJ24" s="749"/>
      <c r="AK24" s="749"/>
      <c r="AL24" s="749"/>
      <c r="AM24" s="749"/>
      <c r="AN24" s="749"/>
      <c r="AO24" s="749"/>
      <c r="AR24" s="766"/>
      <c r="BD24" s="1" t="s">
        <v>1595</v>
      </c>
      <c r="BE24" s="1" t="s">
        <v>220</v>
      </c>
      <c r="BM24" s="1" t="s">
        <v>253</v>
      </c>
      <c r="BN24" s="1" t="s">
        <v>253</v>
      </c>
      <c r="CA24" t="s">
        <v>1399</v>
      </c>
      <c r="CB24" t="s">
        <v>1320</v>
      </c>
      <c r="CK24" t="s">
        <v>1069</v>
      </c>
      <c r="CL24" t="s">
        <v>1069</v>
      </c>
    </row>
    <row r="25" spans="1:90" ht="16.350000000000001" customHeight="1">
      <c r="A25" s="747"/>
      <c r="B25" s="747"/>
      <c r="S25" s="763">
        <f>Ram_1!AR21</f>
        <v>0</v>
      </c>
      <c r="W25" s="751" t="str">
        <f>'Translate&amp;Prices&amp;Logo'!$O$173</f>
        <v>Rodzaj szkła</v>
      </c>
      <c r="X25" s="751"/>
      <c r="Y25" s="751"/>
      <c r="Z25" s="751"/>
      <c r="AA25" s="751"/>
      <c r="AB25" s="56"/>
      <c r="AC25" s="750" t="str">
        <f>IFERROR(VLOOKUP(kombinace_1!$V$1,BX12:BY14,2,0),0)</f>
        <v>Bez modyfikacji</v>
      </c>
      <c r="AD25" s="750"/>
      <c r="AE25" s="750"/>
      <c r="AF25" s="750"/>
      <c r="AG25" s="750"/>
      <c r="AH25" s="750"/>
      <c r="AI25" s="750"/>
      <c r="AJ25" s="750"/>
      <c r="AK25" s="750"/>
      <c r="AL25" s="750"/>
      <c r="AM25" s="750"/>
      <c r="AN25" s="750"/>
      <c r="AO25" s="750"/>
      <c r="AR25" s="766"/>
      <c r="BD25" s="1" t="s">
        <v>1452</v>
      </c>
      <c r="BE25" s="1" t="s">
        <v>221</v>
      </c>
      <c r="BM25" s="1" t="s">
        <v>254</v>
      </c>
      <c r="BN25" s="1" t="s">
        <v>254</v>
      </c>
      <c r="CA25" t="s">
        <v>1400</v>
      </c>
      <c r="CB25" t="s">
        <v>1321</v>
      </c>
      <c r="CK25" t="s">
        <v>1082</v>
      </c>
      <c r="CL25" t="s">
        <v>2982</v>
      </c>
    </row>
    <row r="26" spans="1:90" ht="16.350000000000001" customHeight="1">
      <c r="A26" s="747"/>
      <c r="B26" s="747"/>
      <c r="S26" s="763">
        <f>Ram_1!AR22</f>
        <v>0</v>
      </c>
      <c r="W26" s="751" t="str">
        <f>'Translate&amp;Prices&amp;Logo'!$O$562</f>
        <v>Rodzaj folii</v>
      </c>
      <c r="X26" s="751"/>
      <c r="Y26" s="751"/>
      <c r="Z26" s="751"/>
      <c r="AA26" s="751"/>
      <c r="AB26" s="56"/>
      <c r="AC26" s="750">
        <f>IFERROR(VLOOKUP(Ram_1!$H$24,CA12:CB29,2,0),0)</f>
        <v>0</v>
      </c>
      <c r="AD26" s="750"/>
      <c r="AE26" s="750"/>
      <c r="AF26" s="750"/>
      <c r="AG26" s="750"/>
      <c r="AH26" s="750"/>
      <c r="AI26" s="750"/>
      <c r="AJ26" s="750"/>
      <c r="AK26" s="750"/>
      <c r="AL26" s="750"/>
      <c r="AM26" s="750"/>
      <c r="AN26" s="750"/>
      <c r="AO26" s="750"/>
      <c r="AR26" s="766"/>
      <c r="BD26" s="1" t="s">
        <v>905</v>
      </c>
      <c r="BE26" s="1" t="s">
        <v>1145</v>
      </c>
      <c r="BM26" s="1" t="s">
        <v>1306</v>
      </c>
      <c r="BN26" s="1" t="s">
        <v>1306</v>
      </c>
      <c r="CA26" t="s">
        <v>1401</v>
      </c>
      <c r="CB26" t="s">
        <v>1322</v>
      </c>
      <c r="CK26" t="s">
        <v>1337</v>
      </c>
      <c r="CL26" t="s">
        <v>3083</v>
      </c>
    </row>
    <row r="27" spans="1:90" ht="16.350000000000001" customHeight="1" thickBot="1">
      <c r="A27" s="747"/>
      <c r="B27" s="747"/>
      <c r="S27" s="764">
        <f>Ram_1!AR23</f>
        <v>0</v>
      </c>
      <c r="W27" s="751" t="str">
        <f>'Translate&amp;Prices&amp;Logo'!$O$173</f>
        <v>Rodzaj szkła</v>
      </c>
      <c r="X27" s="751"/>
      <c r="Y27" s="751"/>
      <c r="Z27" s="751"/>
      <c r="AA27" s="751"/>
      <c r="AB27" s="56"/>
      <c r="AC27" s="750">
        <f>IFERROR(VLOOKUP(Ram_1!$H$25,'Translate&amp;Prices&amp;Logo'!$AH$1:$AI$165,2,0),Ram_1!$H$25)</f>
        <v>0</v>
      </c>
      <c r="AD27" s="750"/>
      <c r="AE27" s="750"/>
      <c r="AF27" s="750"/>
      <c r="AG27" s="750"/>
      <c r="AH27" s="750"/>
      <c r="AI27" s="750"/>
      <c r="AJ27" s="750"/>
      <c r="AK27" s="750"/>
      <c r="AL27" s="750"/>
      <c r="AM27" s="750"/>
      <c r="AN27" s="750"/>
      <c r="AO27" s="750"/>
      <c r="AR27" s="766"/>
      <c r="BD27" s="325" t="s">
        <v>3843</v>
      </c>
      <c r="BE27" s="1" t="s">
        <v>220</v>
      </c>
      <c r="BM27" s="1" t="s">
        <v>313</v>
      </c>
      <c r="BN27" s="1" t="s">
        <v>251</v>
      </c>
      <c r="CA27" s="325" t="s">
        <v>1399</v>
      </c>
      <c r="CB27" t="s">
        <v>1320</v>
      </c>
      <c r="CK27" t="s">
        <v>1340</v>
      </c>
      <c r="CL27" t="s">
        <v>3084</v>
      </c>
    </row>
    <row r="28" spans="1:90" ht="16.350000000000001" customHeight="1">
      <c r="A28" s="747"/>
      <c r="B28" s="747"/>
      <c r="W28" s="751" t="str">
        <f>'Translate&amp;Prices&amp;Logo'!$O$549</f>
        <v>Rozstaw uchwytu (mm)</v>
      </c>
      <c r="X28" s="751"/>
      <c r="Y28" s="751"/>
      <c r="Z28" s="751"/>
      <c r="AA28" s="751"/>
      <c r="AB28" s="56"/>
      <c r="AC28" s="750">
        <f>Ram_1!$H$26</f>
        <v>0</v>
      </c>
      <c r="AD28" s="750"/>
      <c r="AE28" s="750"/>
      <c r="AF28" s="750"/>
      <c r="AG28" s="750"/>
      <c r="AH28" s="750"/>
      <c r="AI28" s="750"/>
      <c r="AJ28" s="750"/>
      <c r="AK28" s="750"/>
      <c r="AL28" s="750"/>
      <c r="AM28" s="750"/>
      <c r="AN28" s="750"/>
      <c r="AO28" s="750"/>
      <c r="AR28" s="766"/>
      <c r="BD28" s="325" t="s">
        <v>3844</v>
      </c>
      <c r="BE28" s="1" t="s">
        <v>221</v>
      </c>
      <c r="BM28" s="1" t="s">
        <v>314</v>
      </c>
      <c r="BN28" s="1" t="s">
        <v>252</v>
      </c>
      <c r="CA28" s="325" t="s">
        <v>4045</v>
      </c>
      <c r="CB28" t="s">
        <v>1321</v>
      </c>
      <c r="CK28" t="s">
        <v>1083</v>
      </c>
      <c r="CL28" t="s">
        <v>2983</v>
      </c>
    </row>
    <row r="29" spans="1:90" ht="16.350000000000001" customHeight="1">
      <c r="A29" s="747"/>
      <c r="B29" s="747"/>
      <c r="W29" s="751" t="str">
        <f>'Translate&amp;Prices&amp;Logo'!$O$550</f>
        <v>Umieszczenie uchwytu</v>
      </c>
      <c r="X29" s="751"/>
      <c r="Y29" s="751"/>
      <c r="Z29" s="751"/>
      <c r="AA29" s="751"/>
      <c r="AB29" s="56"/>
      <c r="AC29" s="750">
        <f>IFERROR(VLOOKUP(Ram_1!$H$27,BM42:BN65,2,0),0)</f>
        <v>0</v>
      </c>
      <c r="AD29" s="750"/>
      <c r="AE29" s="750"/>
      <c r="AF29" s="750"/>
      <c r="AG29" s="750"/>
      <c r="AH29" s="750"/>
      <c r="AI29" s="750"/>
      <c r="AJ29" s="750"/>
      <c r="AK29" s="750"/>
      <c r="AL29" s="750"/>
      <c r="AM29" s="750"/>
      <c r="AN29" s="750"/>
      <c r="AO29" s="750"/>
      <c r="AR29" s="766"/>
      <c r="BD29" s="325" t="s">
        <v>3845</v>
      </c>
      <c r="BE29" s="1" t="s">
        <v>1145</v>
      </c>
      <c r="BM29" s="1" t="s">
        <v>315</v>
      </c>
      <c r="BN29" s="1" t="s">
        <v>253</v>
      </c>
      <c r="CA29" s="325" t="s">
        <v>4046</v>
      </c>
      <c r="CB29" t="s">
        <v>1322</v>
      </c>
      <c r="CK29" t="s">
        <v>1089</v>
      </c>
      <c r="CL29" t="s">
        <v>2984</v>
      </c>
    </row>
    <row r="30" spans="1:90" ht="16.350000000000001" customHeight="1">
      <c r="A30" s="747"/>
      <c r="B30" s="747"/>
      <c r="W30" s="751" t="str">
        <f>('Translate&amp;Prices&amp;Logo'!$O$174)&amp;" "&amp;"-"&amp;" "&amp;('Translate&amp;Prices&amp;Logo'!$O$169)&amp;" "&amp;" "&amp;1</f>
        <v>Ilość sztuk - Ramka  1</v>
      </c>
      <c r="X30" s="751"/>
      <c r="Y30" s="751"/>
      <c r="Z30" s="751"/>
      <c r="AA30" s="751"/>
      <c r="AB30" s="56"/>
      <c r="AC30" s="750">
        <f>Ram_1!$H$28</f>
        <v>0</v>
      </c>
      <c r="AD30" s="750"/>
      <c r="AE30" s="750"/>
      <c r="AF30" s="750"/>
      <c r="AG30" s="750"/>
      <c r="AH30" s="750"/>
      <c r="AI30" s="750"/>
      <c r="AJ30" s="750"/>
      <c r="AK30" s="750"/>
      <c r="AL30" s="750"/>
      <c r="AM30" s="750"/>
      <c r="AN30" s="750"/>
      <c r="AO30" s="750"/>
      <c r="AR30" s="766"/>
      <c r="BM30" s="1" t="s">
        <v>316</v>
      </c>
      <c r="BN30" s="1" t="s">
        <v>254</v>
      </c>
      <c r="CK30" s="247" t="s">
        <v>2985</v>
      </c>
      <c r="CL30" t="s">
        <v>4343</v>
      </c>
    </row>
    <row r="31" spans="1:90" ht="16.350000000000001" customHeight="1">
      <c r="A31" s="747"/>
      <c r="B31" s="747"/>
      <c r="AE31" s="1"/>
      <c r="AF31" s="1"/>
      <c r="AR31" s="766"/>
      <c r="BM31" s="1" t="s">
        <v>1254</v>
      </c>
      <c r="BN31" s="1" t="s">
        <v>1306</v>
      </c>
      <c r="CK31" s="247" t="s">
        <v>2986</v>
      </c>
      <c r="CL31" t="s">
        <v>4344</v>
      </c>
    </row>
    <row r="32" spans="1:90" ht="14.85" customHeight="1">
      <c r="A32" s="747"/>
      <c r="B32" s="747"/>
      <c r="AR32" s="766"/>
      <c r="BM32" s="1" t="s">
        <v>1356</v>
      </c>
      <c r="BN32" s="1" t="s">
        <v>251</v>
      </c>
      <c r="BS32" s="325"/>
      <c r="CK32" s="247" t="s">
        <v>2987</v>
      </c>
      <c r="CL32" t="s">
        <v>3080</v>
      </c>
    </row>
    <row r="33" spans="1:90" ht="14.85" customHeight="1">
      <c r="W33" s="756" t="s">
        <v>1604</v>
      </c>
      <c r="X33" s="756"/>
      <c r="Y33" s="756"/>
      <c r="Z33" s="756"/>
      <c r="AE33" s="756" t="s">
        <v>1605</v>
      </c>
      <c r="AF33" s="756"/>
      <c r="AG33" s="756"/>
      <c r="AH33" s="756"/>
      <c r="AR33" s="766"/>
      <c r="BM33" s="1" t="s">
        <v>1357</v>
      </c>
      <c r="BN33" s="1" t="s">
        <v>252</v>
      </c>
      <c r="BS33" s="325"/>
      <c r="CK33" s="247" t="s">
        <v>2988</v>
      </c>
      <c r="CL33" t="s">
        <v>3081</v>
      </c>
    </row>
    <row r="34" spans="1:90" ht="14.85" customHeight="1">
      <c r="AE34" s="768"/>
      <c r="AF34" s="769"/>
      <c r="AG34" s="769"/>
      <c r="AH34" s="769"/>
      <c r="AI34" s="769"/>
      <c r="AJ34" s="769"/>
      <c r="AK34" s="769"/>
      <c r="AL34" s="769"/>
      <c r="AM34" s="769"/>
      <c r="AN34" s="770"/>
      <c r="AR34" s="766"/>
      <c r="BM34" s="1" t="s">
        <v>1480</v>
      </c>
      <c r="BN34" s="1" t="s">
        <v>253</v>
      </c>
      <c r="BS34" s="325"/>
      <c r="CK34" s="247" t="s">
        <v>2989</v>
      </c>
      <c r="CL34" t="s">
        <v>3082</v>
      </c>
    </row>
    <row r="35" spans="1:90" ht="14.85" customHeight="1">
      <c r="AE35" s="771"/>
      <c r="AF35" s="772"/>
      <c r="AG35" s="772"/>
      <c r="AH35" s="772"/>
      <c r="AI35" s="772"/>
      <c r="AJ35" s="772"/>
      <c r="AK35" s="772"/>
      <c r="AL35" s="772"/>
      <c r="AM35" s="772"/>
      <c r="AN35" s="773"/>
      <c r="AR35" s="766"/>
      <c r="BM35" s="1" t="s">
        <v>1481</v>
      </c>
      <c r="BN35" s="1" t="s">
        <v>254</v>
      </c>
      <c r="BS35" s="325"/>
      <c r="CK35" s="247" t="s">
        <v>2990</v>
      </c>
      <c r="CL35" t="s">
        <v>3083</v>
      </c>
    </row>
    <row r="36" spans="1:90" ht="14.85" customHeight="1">
      <c r="AE36" s="771"/>
      <c r="AF36" s="772"/>
      <c r="AG36" s="772"/>
      <c r="AH36" s="772"/>
      <c r="AI36" s="772"/>
      <c r="AJ36" s="772"/>
      <c r="AK36" s="772"/>
      <c r="AL36" s="772"/>
      <c r="AM36" s="772"/>
      <c r="AN36" s="773"/>
      <c r="AR36" s="766"/>
      <c r="BM36" s="1" t="s">
        <v>965</v>
      </c>
      <c r="BN36" s="1" t="s">
        <v>1306</v>
      </c>
      <c r="BS36" s="175"/>
      <c r="BT36" s="133"/>
      <c r="CK36" s="247" t="s">
        <v>2991</v>
      </c>
      <c r="CL36" t="s">
        <v>3084</v>
      </c>
    </row>
    <row r="37" spans="1:90" ht="14.85" customHeight="1">
      <c r="D37" s="780">
        <f>IF(OR(Ram_1!$AC$25="x",Ram_1!$AJ$26="x",Ram_1!$AC$9="x",Ram_1!$AJ$7="x",Ram_1!$AB$16="x",Ram_1!$AM$23="x",Ram_1!$AN$19="x",Ram_1!$AD$10="x"),'Translate&amp;Prices&amp;Logo'!$B$588,0)</f>
        <v>0</v>
      </c>
      <c r="E37" s="780"/>
      <c r="F37" s="780"/>
      <c r="G37" s="780"/>
      <c r="H37" s="780"/>
      <c r="I37" s="780"/>
      <c r="J37" s="780"/>
      <c r="K37" s="780"/>
      <c r="L37" s="780"/>
      <c r="M37" s="780"/>
      <c r="N37" s="780"/>
      <c r="O37" s="780"/>
      <c r="P37" s="780"/>
      <c r="AE37" s="771"/>
      <c r="AF37" s="772"/>
      <c r="AG37" s="772"/>
      <c r="AH37" s="772"/>
      <c r="AI37" s="772"/>
      <c r="AJ37" s="772"/>
      <c r="AK37" s="772"/>
      <c r="AL37" s="772"/>
      <c r="AM37" s="772"/>
      <c r="AN37" s="773"/>
      <c r="AR37" s="766"/>
      <c r="BM37" s="325" t="s">
        <v>3883</v>
      </c>
      <c r="BN37" s="1" t="s">
        <v>251</v>
      </c>
      <c r="BS37" s="133"/>
      <c r="BT37" s="133"/>
      <c r="CK37" s="248" t="s">
        <v>2992</v>
      </c>
      <c r="CL37" t="s">
        <v>4343</v>
      </c>
    </row>
    <row r="38" spans="1:90" ht="14.85" customHeight="1">
      <c r="AE38" s="771"/>
      <c r="AF38" s="772"/>
      <c r="AG38" s="772"/>
      <c r="AH38" s="772"/>
      <c r="AI38" s="772"/>
      <c r="AJ38" s="772"/>
      <c r="AK38" s="772"/>
      <c r="AL38" s="772"/>
      <c r="AM38" s="772"/>
      <c r="AN38" s="773"/>
      <c r="AR38" s="766"/>
      <c r="BM38" s="325" t="s">
        <v>3884</v>
      </c>
      <c r="BN38" s="1" t="s">
        <v>252</v>
      </c>
      <c r="BS38" s="133"/>
      <c r="BT38" s="133"/>
      <c r="CK38" s="248" t="s">
        <v>2549</v>
      </c>
      <c r="CL38" t="s">
        <v>4344</v>
      </c>
    </row>
    <row r="39" spans="1:90" ht="14.85" customHeight="1" thickBot="1">
      <c r="AE39" s="771"/>
      <c r="AF39" s="772"/>
      <c r="AG39" s="772"/>
      <c r="AH39" s="772"/>
      <c r="AI39" s="772"/>
      <c r="AJ39" s="772"/>
      <c r="AK39" s="772"/>
      <c r="AL39" s="772"/>
      <c r="AM39" s="772"/>
      <c r="AN39" s="773"/>
      <c r="AR39" s="766"/>
      <c r="BM39" s="325" t="s">
        <v>3885</v>
      </c>
      <c r="BN39" s="1" t="s">
        <v>253</v>
      </c>
      <c r="BS39" s="133"/>
      <c r="BT39" s="133"/>
      <c r="CK39" s="248" t="s">
        <v>2545</v>
      </c>
      <c r="CL39" t="s">
        <v>3080</v>
      </c>
    </row>
    <row r="40" spans="1:90" ht="14.85" customHeight="1" thickBot="1">
      <c r="G40" s="757" t="str">
        <f>'Translate&amp;Prices&amp;Logo'!$O$175</f>
        <v>Szerokość</v>
      </c>
      <c r="H40" s="758">
        <f>Ram_1!AG30</f>
        <v>0</v>
      </c>
      <c r="I40" s="758">
        <f>Ram_1!AH30</f>
        <v>0</v>
      </c>
      <c r="J40" s="759">
        <f>Ram_1!AI30</f>
        <v>0</v>
      </c>
      <c r="K40" s="759">
        <f>Ram_1!AJ30</f>
        <v>0</v>
      </c>
      <c r="L40" s="760">
        <f>Ram_1!AK30</f>
        <v>0</v>
      </c>
      <c r="AE40" s="771"/>
      <c r="AF40" s="772"/>
      <c r="AG40" s="772"/>
      <c r="AH40" s="772"/>
      <c r="AI40" s="772"/>
      <c r="AJ40" s="772"/>
      <c r="AK40" s="772"/>
      <c r="AL40" s="772"/>
      <c r="AM40" s="772"/>
      <c r="AN40" s="773"/>
      <c r="AR40" s="766"/>
      <c r="BM40" s="325" t="s">
        <v>3886</v>
      </c>
      <c r="BN40" s="1" t="s">
        <v>254</v>
      </c>
      <c r="CK40" s="248" t="s">
        <v>2548</v>
      </c>
      <c r="CL40" t="s">
        <v>3081</v>
      </c>
    </row>
    <row r="41" spans="1:90" ht="21" customHeight="1">
      <c r="AE41" s="774"/>
      <c r="AF41" s="775"/>
      <c r="AG41" s="775"/>
      <c r="AH41" s="775"/>
      <c r="AI41" s="775"/>
      <c r="AJ41" s="775"/>
      <c r="AK41" s="775"/>
      <c r="AL41" s="775"/>
      <c r="AM41" s="775"/>
      <c r="AN41" s="776"/>
      <c r="AR41" s="766"/>
      <c r="BM41" s="325" t="s">
        <v>3887</v>
      </c>
      <c r="BN41" s="1" t="s">
        <v>1306</v>
      </c>
      <c r="CK41" s="248" t="s">
        <v>2546</v>
      </c>
      <c r="CL41" t="s">
        <v>3082</v>
      </c>
    </row>
    <row r="42" spans="1:90" ht="14.85" customHeight="1">
      <c r="AR42" s="766"/>
      <c r="BM42" s="1" t="s">
        <v>111</v>
      </c>
      <c r="BN42" s="1" t="s">
        <v>1132</v>
      </c>
      <c r="CK42" s="248" t="s">
        <v>2547</v>
      </c>
      <c r="CL42" t="s">
        <v>3083</v>
      </c>
    </row>
    <row r="43" spans="1:90" ht="14.85" customHeight="1">
      <c r="AR43" s="766"/>
      <c r="BM43" s="1" t="s">
        <v>112</v>
      </c>
      <c r="BN43" s="1" t="s">
        <v>1305</v>
      </c>
      <c r="CK43" s="248" t="s">
        <v>2550</v>
      </c>
      <c r="CL43" t="s">
        <v>3084</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9" t="s">
        <v>2993</v>
      </c>
      <c r="CL44" t="s">
        <v>4343</v>
      </c>
    </row>
    <row r="45" spans="1:90" ht="35.1" customHeight="1" thickBot="1">
      <c r="J45" s="121"/>
      <c r="K45" s="121"/>
      <c r="L45" s="121"/>
      <c r="M45" s="121"/>
      <c r="N45" s="121"/>
      <c r="O45" s="121"/>
      <c r="P45" s="121"/>
      <c r="Q45" s="121"/>
      <c r="R45" s="121"/>
      <c r="S45" s="121"/>
      <c r="T45" s="121"/>
      <c r="U45" s="121"/>
      <c r="V45" s="121"/>
      <c r="W45" s="755" t="str">
        <f>'Translate&amp;Prices&amp;Logo'!$O$256</f>
        <v>Numer zamówienia</v>
      </c>
      <c r="X45" s="755"/>
      <c r="Y45" s="755"/>
      <c r="Z45" s="755"/>
      <c r="AA45" s="755"/>
      <c r="AB45" s="56"/>
      <c r="AC45" s="752">
        <f>Ram_2!AS5</f>
        <v>0</v>
      </c>
      <c r="AD45" s="753"/>
      <c r="AE45" s="753"/>
      <c r="AF45" s="753"/>
      <c r="AG45" s="753"/>
      <c r="AH45" s="753"/>
      <c r="AI45" s="753"/>
      <c r="AJ45" s="753"/>
      <c r="AK45" s="753"/>
      <c r="AL45" s="753"/>
      <c r="AM45" s="753"/>
      <c r="AN45" s="753"/>
      <c r="AO45" s="754"/>
      <c r="AR45" s="766" t="s">
        <v>1607</v>
      </c>
      <c r="BM45" s="1" t="s">
        <v>101</v>
      </c>
      <c r="BN45" s="1" t="s">
        <v>249</v>
      </c>
      <c r="CK45" s="249" t="s">
        <v>2994</v>
      </c>
      <c r="CL45" t="s">
        <v>4344</v>
      </c>
    </row>
    <row r="46" spans="1:90" ht="16.350000000000001" customHeight="1">
      <c r="W46" s="751" t="str">
        <f>'Translate&amp;Prices&amp;Logo'!$O$542</f>
        <v>Połączenie 2 profili</v>
      </c>
      <c r="X46" s="751"/>
      <c r="Y46" s="751"/>
      <c r="Z46" s="751"/>
      <c r="AA46" s="751"/>
      <c r="AB46" s="56"/>
      <c r="AC46" s="765" t="str">
        <f>IF(kombinace_2!$H$1=TRUE,"Tak","Nie")</f>
        <v>Nie</v>
      </c>
      <c r="AD46" s="765"/>
      <c r="AE46" s="765"/>
      <c r="AF46" s="765"/>
      <c r="AG46" s="765"/>
      <c r="AH46" s="765"/>
      <c r="AI46" s="765"/>
      <c r="AJ46" s="765"/>
      <c r="AK46" s="765"/>
      <c r="AL46" s="765"/>
      <c r="AM46" s="765"/>
      <c r="AN46" s="765"/>
      <c r="AO46" s="765"/>
      <c r="AR46" s="766"/>
      <c r="BM46" s="1" t="s">
        <v>1134</v>
      </c>
      <c r="BN46" s="1" t="s">
        <v>1132</v>
      </c>
      <c r="CK46" s="249" t="s">
        <v>2995</v>
      </c>
      <c r="CL46" t="s">
        <v>2539</v>
      </c>
    </row>
    <row r="47" spans="1:90" ht="16.350000000000001" customHeight="1">
      <c r="W47" s="751" t="str">
        <f>'Translate&amp;Prices&amp;Logo'!$O$172</f>
        <v>Rodzaj profilu</v>
      </c>
      <c r="X47" s="751"/>
      <c r="Y47" s="751"/>
      <c r="Z47" s="751"/>
      <c r="AA47" s="751"/>
      <c r="AB47" s="56"/>
      <c r="AC47" s="750">
        <f>IFERROR(VLOOKUP(Ram_2!$H$8,'Translate&amp;Prices&amp;Logo'!AA1:AB312,2,0),Ram_2!$H$8)</f>
        <v>0</v>
      </c>
      <c r="AD47" s="750"/>
      <c r="AE47" s="750"/>
      <c r="AF47" s="750"/>
      <c r="AG47" s="750"/>
      <c r="AH47" s="750"/>
      <c r="AI47" s="750"/>
      <c r="AJ47" s="750"/>
      <c r="AK47" s="750"/>
      <c r="AL47" s="750"/>
      <c r="AM47" s="750"/>
      <c r="AN47" s="750"/>
      <c r="AO47" s="750"/>
      <c r="AR47" s="766"/>
      <c r="BM47" s="1" t="s">
        <v>112</v>
      </c>
      <c r="BN47" s="1" t="s">
        <v>1305</v>
      </c>
      <c r="CK47" s="249" t="s">
        <v>2996</v>
      </c>
      <c r="CL47" t="s">
        <v>2542</v>
      </c>
    </row>
    <row r="48" spans="1:90" ht="16.350000000000001" customHeight="1">
      <c r="W48" s="751" t="str">
        <f>'Translate&amp;Prices&amp;Logo'!$O$543</f>
        <v>Szprosy</v>
      </c>
      <c r="X48" s="751"/>
      <c r="Y48" s="751"/>
      <c r="Z48" s="751"/>
      <c r="AA48" s="751"/>
      <c r="AB48" s="56"/>
      <c r="AC48" s="750" t="str">
        <f>IFERROR(VLOOKUP(Ram_2!$AU$10,AU48:AV51,2,0),0)</f>
        <v>Nie</v>
      </c>
      <c r="AD48" s="750"/>
      <c r="AE48" s="750"/>
      <c r="AF48" s="750"/>
      <c r="AG48" s="750"/>
      <c r="AH48" s="750"/>
      <c r="AI48" s="750"/>
      <c r="AJ48" s="750"/>
      <c r="AK48" s="750"/>
      <c r="AL48" s="750"/>
      <c r="AM48" s="750"/>
      <c r="AN48" s="750"/>
      <c r="AO48" s="750"/>
      <c r="AR48" s="766"/>
      <c r="AU48">
        <v>0</v>
      </c>
      <c r="AV48" t="str">
        <f>'Translate&amp;Prices&amp;Logo'!$O$557</f>
        <v>Nie</v>
      </c>
      <c r="AZ48">
        <v>2</v>
      </c>
      <c r="BA48" t="str">
        <f>'Translate&amp;Prices&amp;Logo'!$O$551</f>
        <v>Zawiasy</v>
      </c>
      <c r="BM48" s="1" t="s">
        <v>187</v>
      </c>
      <c r="BN48" s="1" t="s">
        <v>248</v>
      </c>
      <c r="BX48" s="1">
        <v>1</v>
      </c>
      <c r="BY48" s="1" t="str">
        <f>'Translate&amp;Prices&amp;Logo'!$O$100</f>
        <v>Bez modyfikacji</v>
      </c>
      <c r="CA48"/>
      <c r="CB48"/>
      <c r="CK48" s="249" t="s">
        <v>2997</v>
      </c>
      <c r="CL48" t="s">
        <v>3080</v>
      </c>
    </row>
    <row r="49" spans="19:90" ht="16.350000000000001" customHeight="1">
      <c r="W49" s="126"/>
      <c r="X49" s="126"/>
      <c r="Y49" s="126"/>
      <c r="Z49" s="126"/>
      <c r="AA49" s="126"/>
      <c r="AB49" s="56"/>
      <c r="AC49" s="767" t="str">
        <f>'Translate&amp;Prices&amp;Logo'!$O$558</f>
        <v>Poziomo (termin dostawy 4 tygodnie)</v>
      </c>
      <c r="AD49" s="767"/>
      <c r="AE49" s="767"/>
      <c r="AF49" s="767"/>
      <c r="AG49" s="767"/>
      <c r="AH49" s="767"/>
      <c r="AI49" s="767"/>
      <c r="AJ49" s="767" t="str">
        <f>'Translate&amp;Prices&amp;Logo'!$O$559</f>
        <v>Pionowo (termin dostawy 4 tygodnie)</v>
      </c>
      <c r="AK49" s="767"/>
      <c r="AL49" s="767"/>
      <c r="AM49" s="767"/>
      <c r="AN49" s="767"/>
      <c r="AO49" s="767"/>
      <c r="AR49" s="766"/>
      <c r="AU49">
        <v>1</v>
      </c>
      <c r="AV49" t="str">
        <f>'Translate&amp;Prices&amp;Logo'!$O$558</f>
        <v>Poziomo (termin dostawy 4 tygodnie)</v>
      </c>
      <c r="AZ49">
        <v>3</v>
      </c>
      <c r="BA49" t="str">
        <f>'Translate&amp;Prices&amp;Logo'!$O$552</f>
        <v>Podnośniki</v>
      </c>
      <c r="BM49" s="1" t="s">
        <v>188</v>
      </c>
      <c r="BN49" s="1" t="s">
        <v>249</v>
      </c>
      <c r="BX49" s="1">
        <v>2</v>
      </c>
      <c r="BY49" s="1" t="str">
        <f>'Translate&amp;Prices&amp;Logo'!$O$101</f>
        <v>Hartowane</v>
      </c>
      <c r="CA49"/>
      <c r="CB49"/>
      <c r="CK49" s="249" t="s">
        <v>2998</v>
      </c>
      <c r="CL49" t="s">
        <v>3081</v>
      </c>
    </row>
    <row r="50" spans="19:90" ht="16.350000000000001" customHeight="1">
      <c r="W50" s="751" t="str">
        <f>('Translate&amp;Prices&amp;Logo'!$O$543)&amp;" "&amp;"("&amp;'Translate&amp;Prices&amp;Logo'!$O$174&amp;")"</f>
        <v>Szprosy (Ilość sztuk)</v>
      </c>
      <c r="X50" s="751"/>
      <c r="Y50" s="751"/>
      <c r="Z50" s="751"/>
      <c r="AA50" s="751"/>
      <c r="AB50" s="56"/>
      <c r="AC50" s="750">
        <f>Ram_2!$H$11</f>
        <v>0</v>
      </c>
      <c r="AD50" s="750"/>
      <c r="AE50" s="750"/>
      <c r="AF50" s="750"/>
      <c r="AG50" s="750"/>
      <c r="AH50" s="750"/>
      <c r="AI50" s="750"/>
      <c r="AJ50" s="750">
        <f>Ram_2!$M$11</f>
        <v>0</v>
      </c>
      <c r="AK50" s="750"/>
      <c r="AL50" s="750"/>
      <c r="AM50" s="750"/>
      <c r="AN50" s="750"/>
      <c r="AO50" s="750"/>
      <c r="AR50" s="766"/>
      <c r="AU50">
        <v>2</v>
      </c>
      <c r="AV50" t="str">
        <f>'Translate&amp;Prices&amp;Logo'!$O$559</f>
        <v>Pionowo (termin dostawy 4 tygodnie)</v>
      </c>
      <c r="BM50" s="1" t="s">
        <v>1132</v>
      </c>
      <c r="BN50" s="1" t="s">
        <v>1132</v>
      </c>
      <c r="BX50" s="1">
        <v>3</v>
      </c>
      <c r="BY50" s="1" t="str">
        <f>'Translate&amp;Prices&amp;Logo'!$O$102</f>
        <v>Folia</v>
      </c>
      <c r="CA50"/>
      <c r="CB50"/>
      <c r="CK50" s="249" t="s">
        <v>2999</v>
      </c>
      <c r="CL50" t="s">
        <v>2979</v>
      </c>
    </row>
    <row r="51" spans="19:90" ht="16.350000000000001" customHeight="1">
      <c r="W51" s="751" t="str">
        <f>'Translate&amp;Prices&amp;Logo'!$O$258</f>
        <v>Typ okucia</v>
      </c>
      <c r="X51" s="751"/>
      <c r="Y51" s="751"/>
      <c r="Z51" s="751"/>
      <c r="AA51" s="751"/>
      <c r="AB51" s="56"/>
      <c r="AC51" s="750">
        <f>IFERROR(VLOOKUP(Ram_2!$AU$9,AZ48:BA49,2,0),0)</f>
        <v>0</v>
      </c>
      <c r="AD51" s="750"/>
      <c r="AE51" s="750"/>
      <c r="AF51" s="750"/>
      <c r="AG51" s="750"/>
      <c r="AH51" s="750"/>
      <c r="AI51" s="750"/>
      <c r="AJ51" s="750"/>
      <c r="AK51" s="750"/>
      <c r="AL51" s="750"/>
      <c r="AM51" s="750"/>
      <c r="AN51" s="750"/>
      <c r="AO51" s="750"/>
      <c r="AR51" s="766"/>
      <c r="AU51">
        <v>3</v>
      </c>
      <c r="AV51" t="str">
        <f>'Translate&amp;Prices&amp;Logo'!$O$560</f>
        <v>Poziomo i pionowo (termin dostawy 4 tygodnie)</v>
      </c>
      <c r="BM51" s="1" t="s">
        <v>1305</v>
      </c>
      <c r="BN51" s="1" t="s">
        <v>1305</v>
      </c>
      <c r="CA51"/>
      <c r="CB51"/>
      <c r="CK51" s="249" t="s">
        <v>3000</v>
      </c>
      <c r="CL51" t="s">
        <v>2980</v>
      </c>
    </row>
    <row r="52" spans="19:90" ht="16.350000000000001" customHeight="1">
      <c r="W52" s="751" t="str">
        <f>'Translate&amp;Prices&amp;Logo'!$O$544</f>
        <v>Marka okucia</v>
      </c>
      <c r="X52" s="751"/>
      <c r="Y52" s="751"/>
      <c r="Z52" s="751"/>
      <c r="AA52" s="751"/>
      <c r="AB52" s="56"/>
      <c r="AC52" s="750">
        <f>Ram_2!$H$13</f>
        <v>0</v>
      </c>
      <c r="AD52" s="750"/>
      <c r="AE52" s="750"/>
      <c r="AF52" s="750"/>
      <c r="AG52" s="750"/>
      <c r="AH52" s="750"/>
      <c r="AI52" s="750"/>
      <c r="AJ52" s="750"/>
      <c r="AK52" s="750"/>
      <c r="AL52" s="750"/>
      <c r="AM52" s="750"/>
      <c r="AN52" s="750"/>
      <c r="AO52" s="750"/>
      <c r="AR52" s="766"/>
      <c r="BM52" s="1" t="s">
        <v>248</v>
      </c>
      <c r="BN52" s="1" t="s">
        <v>248</v>
      </c>
      <c r="CA52"/>
      <c r="CB52"/>
      <c r="CK52" s="249" t="s">
        <v>3001</v>
      </c>
      <c r="CL52" t="s">
        <v>3272</v>
      </c>
    </row>
    <row r="53" spans="19:90" ht="16.350000000000001" customHeight="1" thickBot="1">
      <c r="W53" s="751" t="str">
        <f>'Translate&amp;Prices&amp;Logo'!$O$546</f>
        <v>Nałożenie</v>
      </c>
      <c r="X53" s="751"/>
      <c r="Y53" s="751"/>
      <c r="Z53" s="751"/>
      <c r="AA53" s="751"/>
      <c r="AB53" s="56"/>
      <c r="AC53" s="750">
        <f>IFERROR(VLOOKUP(Ram_2!$H$14,$BD$12:$BE$29,2,0),0)</f>
        <v>0</v>
      </c>
      <c r="AD53" s="750"/>
      <c r="AE53" s="750"/>
      <c r="AF53" s="750"/>
      <c r="AG53" s="750"/>
      <c r="AH53" s="750"/>
      <c r="AI53" s="750"/>
      <c r="AJ53" s="750"/>
      <c r="AK53" s="750"/>
      <c r="AL53" s="750"/>
      <c r="AM53" s="750"/>
      <c r="AN53" s="750"/>
      <c r="AO53" s="750"/>
      <c r="AR53" s="766"/>
      <c r="BM53" s="1" t="s">
        <v>249</v>
      </c>
      <c r="BN53" s="1" t="s">
        <v>249</v>
      </c>
      <c r="CA53"/>
      <c r="CB53"/>
      <c r="CK53" s="249" t="s">
        <v>3002</v>
      </c>
      <c r="CL53" t="s">
        <v>3271</v>
      </c>
    </row>
    <row r="54" spans="19:90" ht="16.350000000000001" customHeight="1">
      <c r="S54" s="761">
        <f>Ram_2!AR14</f>
        <v>0</v>
      </c>
      <c r="W54" s="751" t="str">
        <f>'Translate&amp;Prices&amp;Logo'!$O$545</f>
        <v>Wariant okucia</v>
      </c>
      <c r="X54" s="751"/>
      <c r="Y54" s="751"/>
      <c r="Z54" s="751"/>
      <c r="AA54" s="751"/>
      <c r="AB54" s="56"/>
      <c r="AC54" s="246">
        <f>IFERROR(VLOOKUP(Ram_2!$H$15,kombinace_1!$ED$2:$EE$758,2,0),Ram_2!$H$15)</f>
        <v>0</v>
      </c>
      <c r="AD54" s="246"/>
      <c r="AE54" s="246"/>
      <c r="AF54" s="246"/>
      <c r="AG54" s="246"/>
      <c r="AH54" s="246"/>
      <c r="AI54" s="246"/>
      <c r="AJ54" s="777" t="str">
        <f>IF(AC54='Translate&amp;Prices&amp;Logo'!C698,VLOOKUP(Ram_2!H17,'Translate&amp;Prices&amp;Logo'!C699:D746,2,0),"")</f>
        <v/>
      </c>
      <c r="AK54" s="777"/>
      <c r="AL54" s="777"/>
      <c r="AM54" s="777"/>
      <c r="AN54" s="777"/>
      <c r="AO54" s="777"/>
      <c r="AR54" s="766"/>
      <c r="BM54" s="1" t="s">
        <v>1133</v>
      </c>
      <c r="BN54" s="1" t="s">
        <v>1132</v>
      </c>
      <c r="CA54"/>
      <c r="CB54"/>
      <c r="CK54" s="249" t="s">
        <v>3003</v>
      </c>
      <c r="CL54" t="s">
        <v>2541</v>
      </c>
    </row>
    <row r="55" spans="19:90" ht="16.350000000000001" customHeight="1">
      <c r="S55" s="762">
        <f>Ram_1!AR51</f>
        <v>0</v>
      </c>
      <c r="W55" s="751" t="str">
        <f>'Translate&amp;Prices&amp;Logo'!$O$218</f>
        <v>Wybierz pozycję ramki</v>
      </c>
      <c r="X55" s="751"/>
      <c r="Y55" s="751"/>
      <c r="Z55" s="751"/>
      <c r="AA55" s="751"/>
      <c r="AB55" s="750">
        <f>IFERROR(VLOOKUP(Ram_2!$F$16,BI12:BJ23,2,0),0)</f>
        <v>0</v>
      </c>
      <c r="AC55" s="750"/>
      <c r="AD55" s="750"/>
      <c r="AE55" s="750"/>
      <c r="AF55" s="750"/>
      <c r="AG55" s="778" t="str">
        <f>'Translate&amp;Prices&amp;Logo'!$O$232</f>
        <v>Rodzaj drugiej ramki</v>
      </c>
      <c r="AH55" s="778"/>
      <c r="AI55" s="778"/>
      <c r="AJ55" s="750">
        <f>IFERROR(VLOOKUP(Ram_2!$N$16,BM12:BN41,2,0),0)</f>
        <v>0</v>
      </c>
      <c r="AK55" s="750"/>
      <c r="AL55" s="750"/>
      <c r="AM55" s="750"/>
      <c r="AN55" s="750"/>
      <c r="AO55" s="750"/>
      <c r="AR55" s="766"/>
      <c r="BM55" s="1" t="s">
        <v>1135</v>
      </c>
      <c r="BN55" s="1" t="s">
        <v>1305</v>
      </c>
      <c r="CA55"/>
      <c r="CB55"/>
      <c r="CK55" s="249" t="s">
        <v>3004</v>
      </c>
      <c r="CL55" t="s">
        <v>3274</v>
      </c>
    </row>
    <row r="56" spans="19:90" ht="16.350000000000001" customHeight="1">
      <c r="S56" s="762">
        <f>Ram_1!AR52</f>
        <v>0</v>
      </c>
      <c r="W56" s="751" t="str">
        <f>IF(AC51='Translate&amp;Prices&amp;Logo'!O551,'Translate&amp;Prices&amp;Logo'!O238,'Translate&amp;Prices&amp;Logo'!$O$226)</f>
        <v>Umieszczenie</v>
      </c>
      <c r="X56" s="751"/>
      <c r="Y56" s="751"/>
      <c r="Z56" s="751"/>
      <c r="AA56" s="751"/>
      <c r="AB56" s="56"/>
      <c r="AC56" s="246" t="str">
        <f>IFERROR((IF(Ram_2!H12='Translate&amp;Prices&amp;Logo'!B552,VLOOKUP(Ram_2!$N$16,BM42:BN71,2,0),VLOOKUP(Ram_2!$H$17,BM42:BN65,2,0))),"")</f>
        <v/>
      </c>
      <c r="AD56" s="246"/>
      <c r="AE56" s="246"/>
      <c r="AF56" s="246"/>
      <c r="AG56" s="246"/>
      <c r="AH56" s="246"/>
      <c r="AI56" s="246"/>
      <c r="AJ56" s="246"/>
      <c r="AK56" s="246"/>
      <c r="AL56" s="246"/>
      <c r="AM56" s="246"/>
      <c r="AN56" s="246"/>
      <c r="AO56" s="246"/>
      <c r="AR56" s="766"/>
      <c r="BM56" s="1" t="s">
        <v>310</v>
      </c>
      <c r="BN56" s="1" t="s">
        <v>248</v>
      </c>
      <c r="CA56"/>
      <c r="CB56"/>
      <c r="CK56" s="249" t="s">
        <v>3005</v>
      </c>
      <c r="CL56" t="s">
        <v>2544</v>
      </c>
    </row>
    <row r="57" spans="19:90" ht="16.350000000000001" customHeight="1">
      <c r="S57" s="762">
        <f>Ram_1!AR53</f>
        <v>0</v>
      </c>
      <c r="W57" s="751" t="str">
        <f>'Translate&amp;Prices&amp;Logo'!$O$547</f>
        <v>Zawiasy do podnośników</v>
      </c>
      <c r="X57" s="751"/>
      <c r="Y57" s="751"/>
      <c r="Z57" s="751"/>
      <c r="AA57" s="751"/>
      <c r="AB57" s="56"/>
      <c r="AC57" s="750">
        <f>IFERROR((VLOOKUP(Ram_2!$H$18,$CK$2:$CL$90,2,0)),Ram_2!$H$18)</f>
        <v>0</v>
      </c>
      <c r="AD57" s="750"/>
      <c r="AE57" s="750"/>
      <c r="AF57" s="750"/>
      <c r="AG57" s="750"/>
      <c r="AH57" s="750"/>
      <c r="AI57" s="750"/>
      <c r="AJ57" s="750"/>
      <c r="AK57" s="750"/>
      <c r="AL57" s="750"/>
      <c r="AM57" s="750"/>
      <c r="AN57" s="750"/>
      <c r="AO57" s="750"/>
      <c r="AR57" s="766"/>
      <c r="BM57" s="1" t="s">
        <v>311</v>
      </c>
      <c r="BN57" s="1" t="s">
        <v>249</v>
      </c>
      <c r="CA57"/>
      <c r="CB57"/>
      <c r="CK57" s="249" t="s">
        <v>3006</v>
      </c>
      <c r="CL57" t="s">
        <v>3082</v>
      </c>
    </row>
    <row r="58" spans="19:90" ht="16.350000000000001" customHeight="1">
      <c r="S58" s="762">
        <f>Ram_1!AR54</f>
        <v>0</v>
      </c>
      <c r="W58" s="751" t="str">
        <f>'Translate&amp;Prices&amp;Logo'!$O$223</f>
        <v>Ilość zawiasów na 1 ramkę</v>
      </c>
      <c r="X58" s="751"/>
      <c r="Y58" s="751"/>
      <c r="Z58" s="751"/>
      <c r="AA58" s="751"/>
      <c r="AB58" s="56"/>
      <c r="AC58" s="750">
        <f>Ram_2!$H$19</f>
        <v>0</v>
      </c>
      <c r="AD58" s="750"/>
      <c r="AE58" s="750"/>
      <c r="AF58" s="750"/>
      <c r="AG58" s="750"/>
      <c r="AH58" s="750"/>
      <c r="AI58" s="750"/>
      <c r="AJ58" s="750"/>
      <c r="AK58" s="750"/>
      <c r="AL58" s="750"/>
      <c r="AM58" s="750"/>
      <c r="AN58" s="750"/>
      <c r="AO58" s="750"/>
      <c r="AR58" s="766"/>
      <c r="BM58" s="1" t="s">
        <v>1355</v>
      </c>
      <c r="BN58" s="1" t="s">
        <v>1132</v>
      </c>
      <c r="CA58"/>
      <c r="CB58"/>
      <c r="CK58" s="249" t="s">
        <v>3007</v>
      </c>
      <c r="CL58" t="s">
        <v>2982</v>
      </c>
    </row>
    <row r="59" spans="19:90" ht="16.350000000000001" customHeight="1">
      <c r="S59" s="763" t="str">
        <f>'Translate&amp;Prices&amp;Logo'!$O$176</f>
        <v>Wysokość</v>
      </c>
      <c r="W59" s="751" t="e">
        <f>'Translate&amp;Prices&amp;Logo'!$O$242&amp;" "&amp;VLOOKUP(Ram_2!H17,kombinace_1!$BY$32:$CC$35,5,0)</f>
        <v>#N/A</v>
      </c>
      <c r="X59" s="751"/>
      <c r="Y59" s="751"/>
      <c r="Z59" s="751"/>
      <c r="AA59" s="751"/>
      <c r="AB59" s="246"/>
      <c r="AC59" s="750">
        <f>Ram_2!$F$20</f>
        <v>100</v>
      </c>
      <c r="AD59" s="750"/>
      <c r="AE59" s="750"/>
      <c r="AF59" s="750"/>
      <c r="AG59" s="751" t="e">
        <f>'Translate&amp;Prices&amp;Logo'!$O$242&amp;" "&amp;VLOOKUP(Ram_2!H17,kombinace_1!$BY$32:$CD$35,6,0)</f>
        <v>#N/A</v>
      </c>
      <c r="AH59" s="751"/>
      <c r="AI59" s="751"/>
      <c r="AJ59" s="751"/>
      <c r="AK59" s="751"/>
      <c r="AL59" s="750">
        <f>Ram_2!$N$20</f>
        <v>100</v>
      </c>
      <c r="AM59" s="750"/>
      <c r="AN59" s="750"/>
      <c r="AO59" s="750"/>
      <c r="AR59" s="766"/>
      <c r="BM59" s="1" t="s">
        <v>916</v>
      </c>
      <c r="BN59" s="1" t="s">
        <v>1305</v>
      </c>
      <c r="CA59"/>
      <c r="CB59"/>
      <c r="CK59" s="249" t="s">
        <v>3008</v>
      </c>
      <c r="CL59" t="s">
        <v>3083</v>
      </c>
    </row>
    <row r="60" spans="19:90" ht="16.350000000000001" customHeight="1">
      <c r="S60" s="763">
        <f>Ram_1!AR56</f>
        <v>0</v>
      </c>
      <c r="W60" s="250" t="str">
        <f>'Translate&amp;Prices&amp;Logo'!$O$653</f>
        <v>Wypełnienie z siatki</v>
      </c>
      <c r="X60" s="126"/>
      <c r="Y60" s="126"/>
      <c r="Z60" s="126"/>
      <c r="AA60" s="126"/>
      <c r="AB60" s="56"/>
      <c r="AC60" s="749" t="str">
        <f>IF(kombinace_2!FC2=TRUE,"Tak","Nie")</f>
        <v>Nie</v>
      </c>
      <c r="AD60" s="749"/>
      <c r="AE60" s="749"/>
      <c r="AF60" s="749"/>
      <c r="AG60" s="749"/>
      <c r="AH60" s="749"/>
      <c r="AI60" s="749"/>
      <c r="AJ60" s="749"/>
      <c r="AK60" s="749"/>
      <c r="AL60" s="749"/>
      <c r="AM60" s="749"/>
      <c r="AN60" s="749"/>
      <c r="AO60" s="749"/>
      <c r="AR60" s="766"/>
      <c r="BM60" s="1" t="s">
        <v>907</v>
      </c>
      <c r="BN60" s="1" t="s">
        <v>248</v>
      </c>
      <c r="CA60"/>
      <c r="CB60"/>
      <c r="CK60" s="249" t="s">
        <v>3009</v>
      </c>
      <c r="CL60" t="s">
        <v>3084</v>
      </c>
    </row>
    <row r="61" spans="19:90" ht="16.350000000000001" customHeight="1">
      <c r="S61" s="763">
        <f>Ram_1!AR57</f>
        <v>0</v>
      </c>
      <c r="W61" s="751" t="str">
        <f>'Translate&amp;Prices&amp;Logo'!$O$173</f>
        <v>Rodzaj szkła</v>
      </c>
      <c r="X61" s="751"/>
      <c r="Y61" s="751"/>
      <c r="Z61" s="751"/>
      <c r="AA61" s="751"/>
      <c r="AB61" s="56"/>
      <c r="AC61" s="750" t="str">
        <f>IFERROR(VLOOKUP(kombinace_2!$V$1,BX48:BY50,2,0),0)</f>
        <v>Bez modyfikacji</v>
      </c>
      <c r="AD61" s="750"/>
      <c r="AE61" s="750"/>
      <c r="AF61" s="750"/>
      <c r="AG61" s="750"/>
      <c r="AH61" s="750"/>
      <c r="AI61" s="750"/>
      <c r="AJ61" s="750"/>
      <c r="AK61" s="750"/>
      <c r="AL61" s="750"/>
      <c r="AM61" s="750"/>
      <c r="AN61" s="750"/>
      <c r="AO61" s="750"/>
      <c r="AR61" s="766"/>
      <c r="BM61" s="1" t="s">
        <v>908</v>
      </c>
      <c r="BN61" s="1" t="s">
        <v>249</v>
      </c>
      <c r="CA61"/>
      <c r="CB61"/>
      <c r="CK61" s="249" t="s">
        <v>3010</v>
      </c>
      <c r="CL61" t="s">
        <v>2983</v>
      </c>
    </row>
    <row r="62" spans="19:90" ht="16.350000000000001" customHeight="1">
      <c r="S62" s="763">
        <f>Ram_1!AR58</f>
        <v>0</v>
      </c>
      <c r="W62" s="751" t="str">
        <f>'Translate&amp;Prices&amp;Logo'!$O$562</f>
        <v>Rodzaj folii</v>
      </c>
      <c r="X62" s="751"/>
      <c r="Y62" s="751"/>
      <c r="Z62" s="751"/>
      <c r="AA62" s="751"/>
      <c r="AB62" s="56"/>
      <c r="AC62" s="750">
        <f>IFERROR(VLOOKUP(Ram_2!$H$24,CA12:CB29,2,0),0)</f>
        <v>0</v>
      </c>
      <c r="AD62" s="750"/>
      <c r="AE62" s="750"/>
      <c r="AF62" s="750"/>
      <c r="AG62" s="750"/>
      <c r="AH62" s="750"/>
      <c r="AI62" s="750"/>
      <c r="AJ62" s="750"/>
      <c r="AK62" s="750"/>
      <c r="AL62" s="750"/>
      <c r="AM62" s="750"/>
      <c r="AN62" s="750"/>
      <c r="AO62" s="750"/>
      <c r="AR62" s="766"/>
      <c r="BM62" s="325" t="s">
        <v>3877</v>
      </c>
      <c r="BN62" s="1" t="s">
        <v>1132</v>
      </c>
      <c r="CA62"/>
      <c r="CB62"/>
      <c r="CK62" s="249" t="s">
        <v>3011</v>
      </c>
      <c r="CL62" t="s">
        <v>2984</v>
      </c>
    </row>
    <row r="63" spans="19:90" ht="16.350000000000001" customHeight="1" thickBot="1">
      <c r="S63" s="764">
        <f>Ram_1!AR59</f>
        <v>0</v>
      </c>
      <c r="W63" s="751" t="str">
        <f>'Translate&amp;Prices&amp;Logo'!$O$173</f>
        <v>Rodzaj szkła</v>
      </c>
      <c r="X63" s="751"/>
      <c r="Y63" s="751"/>
      <c r="Z63" s="751"/>
      <c r="AA63" s="751"/>
      <c r="AB63" s="56"/>
      <c r="AC63" s="750">
        <f>IFERROR(VLOOKUP(Ram_2!$H$25,'Translate&amp;Prices&amp;Logo'!$AH$1:$AI$165,2,0),Ram_2!$H$25)</f>
        <v>0</v>
      </c>
      <c r="AD63" s="750"/>
      <c r="AE63" s="750"/>
      <c r="AF63" s="750"/>
      <c r="AG63" s="750"/>
      <c r="AH63" s="750"/>
      <c r="AI63" s="750"/>
      <c r="AJ63" s="750"/>
      <c r="AK63" s="750"/>
      <c r="AL63" s="750"/>
      <c r="AM63" s="750"/>
      <c r="AN63" s="750"/>
      <c r="AO63" s="750"/>
      <c r="AR63" s="766"/>
      <c r="BM63" s="325" t="s">
        <v>3878</v>
      </c>
      <c r="BN63" s="1" t="s">
        <v>1305</v>
      </c>
      <c r="CK63" s="31" t="s">
        <v>4345</v>
      </c>
      <c r="CL63" t="s">
        <v>4343</v>
      </c>
    </row>
    <row r="64" spans="19:90" ht="16.350000000000001" customHeight="1">
      <c r="W64" s="751" t="str">
        <f>'Translate&amp;Prices&amp;Logo'!$O$549</f>
        <v>Rozstaw uchwytu (mm)</v>
      </c>
      <c r="X64" s="751"/>
      <c r="Y64" s="751"/>
      <c r="Z64" s="751"/>
      <c r="AA64" s="751"/>
      <c r="AB64" s="56"/>
      <c r="AC64" s="750">
        <f>Ram_2!$H$26</f>
        <v>0</v>
      </c>
      <c r="AD64" s="750"/>
      <c r="AE64" s="750"/>
      <c r="AF64" s="750"/>
      <c r="AG64" s="750"/>
      <c r="AH64" s="750"/>
      <c r="AI64" s="750"/>
      <c r="AJ64" s="750"/>
      <c r="AK64" s="750"/>
      <c r="AL64" s="750"/>
      <c r="AM64" s="750"/>
      <c r="AN64" s="750"/>
      <c r="AO64" s="750"/>
      <c r="AR64" s="766"/>
      <c r="BM64" s="325" t="s">
        <v>3879</v>
      </c>
      <c r="BN64" s="1" t="s">
        <v>248</v>
      </c>
      <c r="CK64" s="1" t="s">
        <v>2540</v>
      </c>
      <c r="CL64" t="s">
        <v>3272</v>
      </c>
    </row>
    <row r="65" spans="1:94" ht="16.350000000000001" customHeight="1">
      <c r="W65" s="751" t="str">
        <f>'Translate&amp;Prices&amp;Logo'!$O$550</f>
        <v>Umieszczenie uchwytu</v>
      </c>
      <c r="X65" s="751"/>
      <c r="Y65" s="751"/>
      <c r="Z65" s="751"/>
      <c r="AA65" s="751"/>
      <c r="AB65" s="56"/>
      <c r="AC65" s="750">
        <f>IFERROR(VLOOKUP(Ram_2!$H$27,BM42:BN65,2,0),0)</f>
        <v>0</v>
      </c>
      <c r="AD65" s="750"/>
      <c r="AE65" s="750"/>
      <c r="AF65" s="750"/>
      <c r="AG65" s="750"/>
      <c r="AH65" s="750"/>
      <c r="AI65" s="750"/>
      <c r="AJ65" s="750"/>
      <c r="AK65" s="750"/>
      <c r="AL65" s="750"/>
      <c r="AM65" s="750"/>
      <c r="AN65" s="750"/>
      <c r="AO65" s="750"/>
      <c r="AR65" s="766"/>
      <c r="BM65" s="325" t="s">
        <v>3880</v>
      </c>
      <c r="BN65" s="1" t="s">
        <v>249</v>
      </c>
      <c r="CK65" t="s">
        <v>2543</v>
      </c>
      <c r="CL65" t="s">
        <v>3271</v>
      </c>
    </row>
    <row r="66" spans="1:94" ht="16.350000000000001" customHeight="1">
      <c r="W66" s="751" t="str">
        <f>('Translate&amp;Prices&amp;Logo'!$O$174)&amp;" "&amp;"-"&amp;" "&amp;('Translate&amp;Prices&amp;Logo'!$O$169)&amp;" "&amp;" "&amp;2</f>
        <v>Ilość sztuk - Ramka  2</v>
      </c>
      <c r="X66" s="751"/>
      <c r="Y66" s="751"/>
      <c r="Z66" s="751"/>
      <c r="AA66" s="751"/>
      <c r="AB66" s="56"/>
      <c r="AC66" s="750">
        <f>Ram_2!$H$28</f>
        <v>0</v>
      </c>
      <c r="AD66" s="750"/>
      <c r="AE66" s="750"/>
      <c r="AF66" s="750"/>
      <c r="AG66" s="750"/>
      <c r="AH66" s="750"/>
      <c r="AI66" s="750"/>
      <c r="AJ66" s="750"/>
      <c r="AK66" s="750"/>
      <c r="AL66" s="750"/>
      <c r="AM66" s="750"/>
      <c r="AN66" s="750"/>
      <c r="AO66" s="750"/>
      <c r="AR66" s="766"/>
      <c r="BM66" s="175" t="s">
        <v>103</v>
      </c>
      <c r="BN66" s="133" t="s">
        <v>250</v>
      </c>
      <c r="CK66" t="s">
        <v>4325</v>
      </c>
      <c r="CL66" t="s">
        <v>4343</v>
      </c>
    </row>
    <row r="67" spans="1:94" ht="16.350000000000001" customHeight="1">
      <c r="AE67" s="1"/>
      <c r="AF67" s="1"/>
      <c r="AR67" s="766"/>
      <c r="BM67" s="133" t="s">
        <v>189</v>
      </c>
      <c r="BN67" s="133" t="s">
        <v>250</v>
      </c>
      <c r="CK67" t="s">
        <v>4326</v>
      </c>
      <c r="CL67" t="s">
        <v>4344</v>
      </c>
    </row>
    <row r="68" spans="1:94" ht="14.85" customHeight="1">
      <c r="AR68" s="766"/>
      <c r="BM68" s="133" t="s">
        <v>312</v>
      </c>
      <c r="BN68" s="133" t="s">
        <v>250</v>
      </c>
      <c r="BS68" s="133" t="s">
        <v>2301</v>
      </c>
      <c r="BT68" s="133" t="s">
        <v>2305</v>
      </c>
      <c r="CK68" t="s">
        <v>4327</v>
      </c>
      <c r="CL68" t="s">
        <v>4347</v>
      </c>
    </row>
    <row r="69" spans="1:94" ht="14.85" customHeight="1">
      <c r="W69" s="756" t="s">
        <v>1604</v>
      </c>
      <c r="X69" s="756"/>
      <c r="Y69" s="756"/>
      <c r="Z69" s="756"/>
      <c r="AE69" s="756" t="s">
        <v>1605</v>
      </c>
      <c r="AF69" s="756"/>
      <c r="AG69" s="756"/>
      <c r="AH69" s="756"/>
      <c r="AR69" s="766"/>
      <c r="BM69" s="133" t="s">
        <v>909</v>
      </c>
      <c r="BN69" s="133" t="s">
        <v>250</v>
      </c>
      <c r="BS69" s="133" t="s">
        <v>2302</v>
      </c>
      <c r="BT69" s="133" t="s">
        <v>2306</v>
      </c>
      <c r="CK69" t="s">
        <v>4328</v>
      </c>
      <c r="CL69" t="s">
        <v>4348</v>
      </c>
    </row>
    <row r="70" spans="1:94" ht="14.85" customHeight="1">
      <c r="AE70" s="768"/>
      <c r="AF70" s="769"/>
      <c r="AG70" s="769"/>
      <c r="AH70" s="769"/>
      <c r="AI70" s="769"/>
      <c r="AJ70" s="769"/>
      <c r="AK70" s="769"/>
      <c r="AL70" s="769"/>
      <c r="AM70" s="769"/>
      <c r="AN70" s="770"/>
      <c r="AR70" s="766"/>
      <c r="BM70" s="1" t="s">
        <v>3881</v>
      </c>
      <c r="BN70" s="133" t="s">
        <v>250</v>
      </c>
      <c r="BS70" s="133" t="s">
        <v>2303</v>
      </c>
      <c r="BT70" s="133" t="s">
        <v>2307</v>
      </c>
      <c r="CK70" t="s">
        <v>4329</v>
      </c>
      <c r="CL70" t="s">
        <v>4349</v>
      </c>
    </row>
    <row r="71" spans="1:94" ht="14.85" customHeight="1">
      <c r="AE71" s="771"/>
      <c r="AF71" s="772"/>
      <c r="AG71" s="772"/>
      <c r="AH71" s="772"/>
      <c r="AI71" s="772"/>
      <c r="AJ71" s="772"/>
      <c r="AK71" s="772"/>
      <c r="AL71" s="772"/>
      <c r="AM71" s="772"/>
      <c r="AN71" s="773"/>
      <c r="AR71" s="766"/>
      <c r="BM71" s="1" t="s">
        <v>250</v>
      </c>
      <c r="BN71" s="1" t="s">
        <v>250</v>
      </c>
      <c r="BS71" s="133" t="s">
        <v>2304</v>
      </c>
      <c r="BT71" s="133" t="s">
        <v>2308</v>
      </c>
      <c r="CK71" t="s">
        <v>4330</v>
      </c>
      <c r="CL71" t="s">
        <v>4350</v>
      </c>
    </row>
    <row r="72" spans="1:94" ht="14.85" customHeight="1">
      <c r="AE72" s="771"/>
      <c r="AF72" s="772"/>
      <c r="AG72" s="772"/>
      <c r="AH72" s="772"/>
      <c r="AI72" s="772"/>
      <c r="AJ72" s="772"/>
      <c r="AK72" s="772"/>
      <c r="AL72" s="772"/>
      <c r="AM72" s="772"/>
      <c r="AN72" s="773"/>
      <c r="AR72" s="766"/>
      <c r="BS72" s="175" t="s">
        <v>103</v>
      </c>
      <c r="BT72" s="133" t="s">
        <v>250</v>
      </c>
      <c r="CK72" t="s">
        <v>4331</v>
      </c>
      <c r="CL72" t="s">
        <v>4351</v>
      </c>
    </row>
    <row r="73" spans="1:94" ht="14.85" customHeight="1">
      <c r="D73" s="780">
        <f>IF(OR(Ram_2!$AC$25="x",Ram_2!$AJ$26="x",Ram_2!$AC$9="x",Ram_2!$AJ$7="x",Ram_2!$AB$16="x",Ram_2!$AM$23="x",Ram_2!$AN$19="x",Ram_2!$AD$10="x"),'Translate&amp;Prices&amp;Logo'!$B$588,0)</f>
        <v>0</v>
      </c>
      <c r="E73" s="780"/>
      <c r="F73" s="780"/>
      <c r="G73" s="780"/>
      <c r="H73" s="780"/>
      <c r="I73" s="780"/>
      <c r="J73" s="780"/>
      <c r="K73" s="780"/>
      <c r="L73" s="780"/>
      <c r="M73" s="780"/>
      <c r="N73" s="780"/>
      <c r="O73" s="780"/>
      <c r="P73" s="780"/>
      <c r="AE73" s="771"/>
      <c r="AF73" s="772"/>
      <c r="AG73" s="772"/>
      <c r="AH73" s="772"/>
      <c r="AI73" s="772"/>
      <c r="AJ73" s="772"/>
      <c r="AK73" s="772"/>
      <c r="AL73" s="772"/>
      <c r="AM73" s="772"/>
      <c r="AN73" s="773"/>
      <c r="AR73" s="766"/>
      <c r="BS73" s="133" t="s">
        <v>189</v>
      </c>
      <c r="BT73" s="133" t="s">
        <v>250</v>
      </c>
      <c r="CK73" t="s">
        <v>4164</v>
      </c>
      <c r="CL73" t="s">
        <v>2539</v>
      </c>
      <c r="CP73"/>
    </row>
    <row r="74" spans="1:94" ht="14.85" customHeight="1">
      <c r="AE74" s="771"/>
      <c r="AF74" s="772"/>
      <c r="AG74" s="772"/>
      <c r="AH74" s="772"/>
      <c r="AI74" s="772"/>
      <c r="AJ74" s="772"/>
      <c r="AK74" s="772"/>
      <c r="AL74" s="772"/>
      <c r="AM74" s="772"/>
      <c r="AN74" s="773"/>
      <c r="AR74" s="766"/>
      <c r="BS74" s="133" t="s">
        <v>312</v>
      </c>
      <c r="BT74" s="133" t="s">
        <v>250</v>
      </c>
      <c r="CK74" t="s">
        <v>4332</v>
      </c>
      <c r="CL74" t="s">
        <v>2979</v>
      </c>
    </row>
    <row r="75" spans="1:94" ht="14.85" customHeight="1" thickBot="1">
      <c r="AE75" s="771"/>
      <c r="AF75" s="772"/>
      <c r="AG75" s="772"/>
      <c r="AH75" s="772"/>
      <c r="AI75" s="772"/>
      <c r="AJ75" s="772"/>
      <c r="AK75" s="772"/>
      <c r="AL75" s="772"/>
      <c r="AM75" s="772"/>
      <c r="AN75" s="773"/>
      <c r="AR75" s="766"/>
      <c r="BS75" s="133" t="s">
        <v>909</v>
      </c>
      <c r="BT75" s="133" t="s">
        <v>250</v>
      </c>
      <c r="CK75" t="s">
        <v>4167</v>
      </c>
      <c r="CL75" t="s">
        <v>2540</v>
      </c>
    </row>
    <row r="76" spans="1:94" ht="14.85" customHeight="1" thickBot="1">
      <c r="G76" s="757" t="str">
        <f>'Translate&amp;Prices&amp;Logo'!$O$175</f>
        <v>Szerokość</v>
      </c>
      <c r="H76" s="758">
        <f>Ram_1!AG66</f>
        <v>0</v>
      </c>
      <c r="I76" s="758">
        <f>Ram_1!AH66</f>
        <v>0</v>
      </c>
      <c r="J76" s="759">
        <f>Ram_2!AI30</f>
        <v>0</v>
      </c>
      <c r="K76" s="759">
        <f>Ram_1!AJ66</f>
        <v>0</v>
      </c>
      <c r="L76" s="760">
        <f>Ram_1!AK66</f>
        <v>0</v>
      </c>
      <c r="AE76" s="771"/>
      <c r="AF76" s="772"/>
      <c r="AG76" s="772"/>
      <c r="AH76" s="772"/>
      <c r="AI76" s="772"/>
      <c r="AJ76" s="772"/>
      <c r="AK76" s="772"/>
      <c r="AL76" s="772"/>
      <c r="AM76" s="772"/>
      <c r="AN76" s="773"/>
      <c r="AR76" s="766"/>
      <c r="CK76" t="s">
        <v>4169</v>
      </c>
      <c r="CL76" t="s">
        <v>2541</v>
      </c>
    </row>
    <row r="77" spans="1:94" ht="21" customHeight="1">
      <c r="AE77" s="774"/>
      <c r="AF77" s="775"/>
      <c r="AG77" s="775"/>
      <c r="AH77" s="775"/>
      <c r="AI77" s="775"/>
      <c r="AJ77" s="775"/>
      <c r="AK77" s="775"/>
      <c r="AL77" s="775"/>
      <c r="AM77" s="775"/>
      <c r="AN77" s="776"/>
      <c r="AR77" s="766"/>
      <c r="CK77" t="s">
        <v>4333</v>
      </c>
      <c r="CL77" t="s">
        <v>2982</v>
      </c>
    </row>
    <row r="78" spans="1:94" ht="14.85" customHeight="1">
      <c r="AR78" s="766"/>
      <c r="CK78" t="s">
        <v>4334</v>
      </c>
      <c r="CL78" t="s">
        <v>2983</v>
      </c>
    </row>
    <row r="79" spans="1:94" ht="14.85" customHeight="1">
      <c r="AR79" s="766"/>
      <c r="CK79" t="s">
        <v>4168</v>
      </c>
      <c r="CL79" t="s">
        <v>2542</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4335</v>
      </c>
      <c r="CL80" t="s">
        <v>2980</v>
      </c>
    </row>
    <row r="81" spans="10:90" ht="35.1" customHeight="1" thickBot="1">
      <c r="J81" s="121"/>
      <c r="K81" s="121"/>
      <c r="L81" s="121"/>
      <c r="M81" s="121"/>
      <c r="N81" s="121"/>
      <c r="O81" s="121"/>
      <c r="P81" s="121"/>
      <c r="Q81" s="121"/>
      <c r="R81" s="121"/>
      <c r="S81" s="121"/>
      <c r="T81" s="121"/>
      <c r="U81" s="121"/>
      <c r="V81" s="121"/>
      <c r="W81" s="755" t="str">
        <f>'Translate&amp;Prices&amp;Logo'!$O$256</f>
        <v>Numer zamówienia</v>
      </c>
      <c r="X81" s="755"/>
      <c r="Y81" s="755"/>
      <c r="Z81" s="755"/>
      <c r="AA81" s="755"/>
      <c r="AB81" s="56"/>
      <c r="AC81" s="752">
        <f>Ram_3!AS5</f>
        <v>0</v>
      </c>
      <c r="AD81" s="753"/>
      <c r="AE81" s="753"/>
      <c r="AF81" s="753"/>
      <c r="AG81" s="753"/>
      <c r="AH81" s="753"/>
      <c r="AI81" s="753"/>
      <c r="AJ81" s="753"/>
      <c r="AK81" s="753"/>
      <c r="AL81" s="753"/>
      <c r="AM81" s="753"/>
      <c r="AN81" s="753"/>
      <c r="AO81" s="754"/>
      <c r="AR81" s="766" t="s">
        <v>1608</v>
      </c>
      <c r="CK81" t="s">
        <v>4170</v>
      </c>
      <c r="CL81" t="s">
        <v>2543</v>
      </c>
    </row>
    <row r="82" spans="10:90" ht="16.350000000000001" customHeight="1">
      <c r="W82" s="751" t="str">
        <f>'Translate&amp;Prices&amp;Logo'!$O$542</f>
        <v>Połączenie 2 profili</v>
      </c>
      <c r="X82" s="751"/>
      <c r="Y82" s="751"/>
      <c r="Z82" s="751"/>
      <c r="AA82" s="751"/>
      <c r="AB82" s="56"/>
      <c r="AC82" s="765" t="str">
        <f>IF(kombinace_3!$H$1=TRUE,"Tak","Nie")</f>
        <v>Nie</v>
      </c>
      <c r="AD82" s="765"/>
      <c r="AE82" s="765"/>
      <c r="AF82" s="765"/>
      <c r="AG82" s="765"/>
      <c r="AH82" s="765"/>
      <c r="AI82" s="765"/>
      <c r="AJ82" s="765"/>
      <c r="AK82" s="765"/>
      <c r="AL82" s="765"/>
      <c r="AM82" s="765"/>
      <c r="AN82" s="765"/>
      <c r="AO82" s="765"/>
      <c r="AR82" s="766"/>
      <c r="CK82" t="s">
        <v>4336</v>
      </c>
      <c r="CL82" t="s">
        <v>2981</v>
      </c>
    </row>
    <row r="83" spans="10:90" ht="16.350000000000001" customHeight="1">
      <c r="W83" s="751" t="str">
        <f>'Translate&amp;Prices&amp;Logo'!$O$172</f>
        <v>Rodzaj profilu</v>
      </c>
      <c r="X83" s="751"/>
      <c r="Y83" s="751"/>
      <c r="Z83" s="751"/>
      <c r="AA83" s="751"/>
      <c r="AB83" s="56"/>
      <c r="AC83" s="750">
        <f>IFERROR(VLOOKUP(Ram_3!$H$8,'Translate&amp;Prices&amp;Logo'!AA1:AB312,2,0),Ram_3!$H$8)</f>
        <v>0</v>
      </c>
      <c r="AD83" s="750"/>
      <c r="AE83" s="750"/>
      <c r="AF83" s="750"/>
      <c r="AG83" s="750"/>
      <c r="AH83" s="750"/>
      <c r="AI83" s="750"/>
      <c r="AJ83" s="750"/>
      <c r="AK83" s="750"/>
      <c r="AL83" s="750"/>
      <c r="AM83" s="750"/>
      <c r="AN83" s="750"/>
      <c r="AO83" s="750"/>
      <c r="AR83" s="766"/>
      <c r="CK83" t="s">
        <v>4172</v>
      </c>
      <c r="CL83" t="s">
        <v>2544</v>
      </c>
    </row>
    <row r="84" spans="10:90" ht="16.350000000000001" customHeight="1">
      <c r="W84" s="751" t="str">
        <f>'Translate&amp;Prices&amp;Logo'!$O$543</f>
        <v>Szprosy</v>
      </c>
      <c r="X84" s="751"/>
      <c r="Y84" s="751"/>
      <c r="Z84" s="751"/>
      <c r="AA84" s="751"/>
      <c r="AB84" s="56"/>
      <c r="AC84" s="750" t="str">
        <f>IFERROR(VLOOKUP(Ram_3!$AU$10,AU84:AV87,2,0),0)</f>
        <v>Nie</v>
      </c>
      <c r="AD84" s="750"/>
      <c r="AE84" s="750"/>
      <c r="AF84" s="750"/>
      <c r="AG84" s="750"/>
      <c r="AH84" s="750"/>
      <c r="AI84" s="750"/>
      <c r="AJ84" s="750"/>
      <c r="AK84" s="750"/>
      <c r="AL84" s="750"/>
      <c r="AM84" s="750"/>
      <c r="AN84" s="750"/>
      <c r="AO84" s="750"/>
      <c r="AR84" s="766"/>
      <c r="AU84">
        <v>0</v>
      </c>
      <c r="AV84" t="str">
        <f>'Translate&amp;Prices&amp;Logo'!$O$557</f>
        <v>Nie</v>
      </c>
      <c r="AZ84">
        <v>2</v>
      </c>
      <c r="BA84" t="str">
        <f>'Translate&amp;Prices&amp;Logo'!$O$551</f>
        <v>Zawiasy</v>
      </c>
      <c r="BX84" s="1">
        <v>1</v>
      </c>
      <c r="BY84" s="1" t="str">
        <f>'Translate&amp;Prices&amp;Logo'!$O$100</f>
        <v>Bez modyfikacji</v>
      </c>
      <c r="CA84"/>
      <c r="CB84"/>
      <c r="CK84" t="s">
        <v>4337</v>
      </c>
      <c r="CL84" t="s">
        <v>2984</v>
      </c>
    </row>
    <row r="85" spans="10:90" ht="16.350000000000001" customHeight="1">
      <c r="W85" s="126"/>
      <c r="X85" s="126"/>
      <c r="Y85" s="126"/>
      <c r="Z85" s="126"/>
      <c r="AA85" s="126"/>
      <c r="AB85" s="56"/>
      <c r="AC85" s="767" t="str">
        <f>'Translate&amp;Prices&amp;Logo'!$O$558</f>
        <v>Poziomo (termin dostawy 4 tygodnie)</v>
      </c>
      <c r="AD85" s="767"/>
      <c r="AE85" s="767"/>
      <c r="AF85" s="767"/>
      <c r="AG85" s="767"/>
      <c r="AH85" s="767"/>
      <c r="AI85" s="767"/>
      <c r="AJ85" s="767" t="str">
        <f>'Translate&amp;Prices&amp;Logo'!$O$559</f>
        <v>Pionowo (termin dostawy 4 tygodnie)</v>
      </c>
      <c r="AK85" s="767"/>
      <c r="AL85" s="767"/>
      <c r="AM85" s="767"/>
      <c r="AN85" s="767"/>
      <c r="AO85" s="767"/>
      <c r="AR85" s="766"/>
      <c r="AU85">
        <v>1</v>
      </c>
      <c r="AV85" t="str">
        <f>'Translate&amp;Prices&amp;Logo'!$O$558</f>
        <v>Poziomo (termin dostawy 4 tygodnie)</v>
      </c>
      <c r="AZ85">
        <v>3</v>
      </c>
      <c r="BA85" t="str">
        <f>'Translate&amp;Prices&amp;Logo'!$O$552</f>
        <v>Podnośniki</v>
      </c>
      <c r="BX85" s="1">
        <v>2</v>
      </c>
      <c r="BY85" s="1" t="str">
        <f>'Translate&amp;Prices&amp;Logo'!$O$101</f>
        <v>Hartowane</v>
      </c>
      <c r="CA85"/>
      <c r="CB85"/>
      <c r="CK85" t="s">
        <v>4165</v>
      </c>
      <c r="CL85" t="s">
        <v>4346</v>
      </c>
    </row>
    <row r="86" spans="10:90" ht="16.350000000000001" customHeight="1">
      <c r="W86" s="751" t="str">
        <f>('Translate&amp;Prices&amp;Logo'!$O$543)&amp;" "&amp;"("&amp;'Translate&amp;Prices&amp;Logo'!$O$174&amp;")"</f>
        <v>Szprosy (Ilość sztuk)</v>
      </c>
      <c r="X86" s="751"/>
      <c r="Y86" s="751"/>
      <c r="Z86" s="751"/>
      <c r="AA86" s="751"/>
      <c r="AB86" s="56"/>
      <c r="AC86" s="750">
        <f>Ram_3!$H$11</f>
        <v>0</v>
      </c>
      <c r="AD86" s="750"/>
      <c r="AE86" s="750"/>
      <c r="AF86" s="750"/>
      <c r="AG86" s="750"/>
      <c r="AH86" s="750"/>
      <c r="AI86" s="750"/>
      <c r="AJ86" s="750">
        <f>Ram_3!$M$11</f>
        <v>0</v>
      </c>
      <c r="AK86" s="750"/>
      <c r="AL86" s="750"/>
      <c r="AM86" s="750"/>
      <c r="AN86" s="750"/>
      <c r="AO86" s="750"/>
      <c r="AR86" s="766"/>
      <c r="AU86">
        <v>2</v>
      </c>
      <c r="AV86" t="str">
        <f>'Translate&amp;Prices&amp;Logo'!$O$559</f>
        <v>Pionowo (termin dostawy 4 tygodnie)</v>
      </c>
      <c r="BX86" s="1">
        <v>3</v>
      </c>
      <c r="BY86" s="1" t="str">
        <f>'Translate&amp;Prices&amp;Logo'!$O$102</f>
        <v>Folia</v>
      </c>
      <c r="CA86"/>
      <c r="CB86"/>
      <c r="CK86" t="s">
        <v>4173</v>
      </c>
      <c r="CL86" t="s">
        <v>4352</v>
      </c>
    </row>
    <row r="87" spans="10:90" ht="16.350000000000001" customHeight="1">
      <c r="W87" s="751" t="str">
        <f>'Translate&amp;Prices&amp;Logo'!$O$258</f>
        <v>Typ okucia</v>
      </c>
      <c r="X87" s="751"/>
      <c r="Y87" s="751"/>
      <c r="Z87" s="751"/>
      <c r="AA87" s="751"/>
      <c r="AB87" s="56"/>
      <c r="AC87" s="750">
        <f>IFERROR(VLOOKUP(Ram_3!$AU$9,AZ84:BA85,2,0),0)</f>
        <v>0</v>
      </c>
      <c r="AD87" s="750"/>
      <c r="AE87" s="750"/>
      <c r="AF87" s="750"/>
      <c r="AG87" s="750"/>
      <c r="AH87" s="750"/>
      <c r="AI87" s="750"/>
      <c r="AJ87" s="750"/>
      <c r="AK87" s="750"/>
      <c r="AL87" s="750"/>
      <c r="AM87" s="750"/>
      <c r="AN87" s="750"/>
      <c r="AO87" s="750"/>
      <c r="AR87" s="766"/>
      <c r="AU87">
        <v>3</v>
      </c>
      <c r="AV87" t="str">
        <f>'Translate&amp;Prices&amp;Logo'!$O$560</f>
        <v>Poziomo i pionowo (termin dostawy 4 tygodnie)</v>
      </c>
      <c r="CA87"/>
      <c r="CB87"/>
      <c r="CK87" t="s">
        <v>4174</v>
      </c>
      <c r="CL87" t="s">
        <v>4353</v>
      </c>
    </row>
    <row r="88" spans="10:90" ht="16.350000000000001" customHeight="1">
      <c r="W88" s="751" t="str">
        <f>'Translate&amp;Prices&amp;Logo'!$O$544</f>
        <v>Marka okucia</v>
      </c>
      <c r="X88" s="751"/>
      <c r="Y88" s="751"/>
      <c r="Z88" s="751"/>
      <c r="AA88" s="751"/>
      <c r="AB88" s="56"/>
      <c r="AC88" s="750">
        <f>Ram_3!$H$13</f>
        <v>0</v>
      </c>
      <c r="AD88" s="750"/>
      <c r="AE88" s="750"/>
      <c r="AF88" s="750"/>
      <c r="AG88" s="750"/>
      <c r="AH88" s="750"/>
      <c r="AI88" s="750"/>
      <c r="AJ88" s="750"/>
      <c r="AK88" s="750"/>
      <c r="AL88" s="750"/>
      <c r="AM88" s="750"/>
      <c r="AN88" s="750"/>
      <c r="AO88" s="750"/>
      <c r="AR88" s="766"/>
      <c r="CA88"/>
      <c r="CB88"/>
      <c r="CK88" t="s">
        <v>4166</v>
      </c>
      <c r="CL88" t="s">
        <v>4346</v>
      </c>
    </row>
    <row r="89" spans="10:90" ht="16.350000000000001" customHeight="1" thickBot="1">
      <c r="W89" s="751" t="str">
        <f>'Translate&amp;Prices&amp;Logo'!$O$546</f>
        <v>Nałożenie</v>
      </c>
      <c r="X89" s="751"/>
      <c r="Y89" s="751"/>
      <c r="Z89" s="751"/>
      <c r="AA89" s="751"/>
      <c r="AB89" s="56"/>
      <c r="AC89" s="750">
        <f>IFERROR(VLOOKUP(Ram_3!$H$14,$BD$12:$BE$29,2,0),0)</f>
        <v>0</v>
      </c>
      <c r="AD89" s="750"/>
      <c r="AE89" s="750"/>
      <c r="AF89" s="750"/>
      <c r="AG89" s="750"/>
      <c r="AH89" s="750"/>
      <c r="AI89" s="750"/>
      <c r="AJ89" s="750"/>
      <c r="AK89" s="750"/>
      <c r="AL89" s="750"/>
      <c r="AM89" s="750"/>
      <c r="AN89" s="750"/>
      <c r="AO89" s="750"/>
      <c r="AR89" s="766"/>
      <c r="CA89"/>
      <c r="CB89"/>
      <c r="CK89" t="s">
        <v>4171</v>
      </c>
      <c r="CL89" t="s">
        <v>4354</v>
      </c>
    </row>
    <row r="90" spans="10:90" ht="16.350000000000001" customHeight="1">
      <c r="S90" s="761">
        <f>Ram_3!AR14</f>
        <v>0</v>
      </c>
      <c r="W90" s="751" t="str">
        <f>'Translate&amp;Prices&amp;Logo'!$O$545</f>
        <v>Wariant okucia</v>
      </c>
      <c r="X90" s="751"/>
      <c r="Y90" s="751"/>
      <c r="Z90" s="751"/>
      <c r="AA90" s="751"/>
      <c r="AB90" s="56"/>
      <c r="AC90" s="777">
        <f>IFERROR(VLOOKUP(Ram_3!$H$15,kombinace_1!$ED$2:$EE$758,2,0),Ram_3!$H$15)</f>
        <v>0</v>
      </c>
      <c r="AD90" s="777"/>
      <c r="AE90" s="777"/>
      <c r="AF90" s="777"/>
      <c r="AG90" s="777"/>
      <c r="AH90" s="777"/>
      <c r="AI90" s="777"/>
      <c r="AJ90" s="777" t="str">
        <f>IF(AC90='Translate&amp;Prices&amp;Logo'!C698,VLOOKUP(Ram_3!H17,'Translate&amp;Prices&amp;Logo'!C699:D746,2,0),"")</f>
        <v/>
      </c>
      <c r="AK90" s="777"/>
      <c r="AL90" s="777"/>
      <c r="AM90" s="777"/>
      <c r="AN90" s="777"/>
      <c r="AO90" s="777"/>
      <c r="AR90" s="766"/>
      <c r="CA90"/>
      <c r="CB90"/>
      <c r="CK90" t="s">
        <v>4175</v>
      </c>
      <c r="CL90" t="s">
        <v>4355</v>
      </c>
    </row>
    <row r="91" spans="10:90" ht="16.350000000000001" customHeight="1">
      <c r="S91" s="762">
        <f>Ram_1!AR87</f>
        <v>0</v>
      </c>
      <c r="W91" s="751" t="str">
        <f>'Translate&amp;Prices&amp;Logo'!$O$218</f>
        <v>Wybierz pozycję ramki</v>
      </c>
      <c r="X91" s="751"/>
      <c r="Y91" s="751"/>
      <c r="Z91" s="751"/>
      <c r="AA91" s="751"/>
      <c r="AB91" s="750">
        <f>IFERROR(VLOOKUP(Ram_3!$F$16,BI12:BJ23,2,0),0)</f>
        <v>0</v>
      </c>
      <c r="AC91" s="750"/>
      <c r="AD91" s="750"/>
      <c r="AE91" s="750"/>
      <c r="AF91" s="750"/>
      <c r="AG91" s="778" t="str">
        <f>'Translate&amp;Prices&amp;Logo'!$O$232</f>
        <v>Rodzaj drugiej ramki</v>
      </c>
      <c r="AH91" s="778"/>
      <c r="AI91" s="778"/>
      <c r="AJ91" s="250"/>
      <c r="AK91" s="750">
        <f>IFERROR(VLOOKUP(Ram_3!$N$16,BM12:BN41,2,0),0)</f>
        <v>0</v>
      </c>
      <c r="AL91" s="750"/>
      <c r="AM91" s="750"/>
      <c r="AN91" s="750"/>
      <c r="AO91" s="750"/>
      <c r="AR91" s="766"/>
      <c r="CA91"/>
      <c r="CB91"/>
      <c r="CL91"/>
    </row>
    <row r="92" spans="10:90" ht="16.350000000000001" customHeight="1">
      <c r="S92" s="762">
        <f>Ram_1!AR88</f>
        <v>0</v>
      </c>
      <c r="W92" s="751" t="str">
        <f>IF(AC87='Translate&amp;Prices&amp;Logo'!O551,'Translate&amp;Prices&amp;Logo'!O238,'Translate&amp;Prices&amp;Logo'!$O$226)</f>
        <v>Umieszczenie</v>
      </c>
      <c r="X92" s="751"/>
      <c r="Y92" s="751"/>
      <c r="Z92" s="751"/>
      <c r="AA92" s="751"/>
      <c r="AB92" s="56"/>
      <c r="AC92" s="750" t="str">
        <f>IFERROR((IF(Ram_3!H12='Translate&amp;Prices&amp;Logo'!B552,VLOOKUP(Ram_3!$N$16,BM42:BN71,2,0),VLOOKUP(Ram_3!$H$17,BM42:BN65,2,0))),"")</f>
        <v/>
      </c>
      <c r="AD92" s="750"/>
      <c r="AE92" s="750"/>
      <c r="AF92" s="750"/>
      <c r="AG92" s="750"/>
      <c r="AH92" s="750"/>
      <c r="AI92" s="750"/>
      <c r="AJ92" s="750"/>
      <c r="AK92" s="750"/>
      <c r="AL92" s="750"/>
      <c r="AM92" s="750"/>
      <c r="AN92" s="750"/>
      <c r="AO92" s="750"/>
      <c r="AR92" s="766"/>
      <c r="CA92"/>
      <c r="CB92"/>
      <c r="CL92"/>
    </row>
    <row r="93" spans="10:90" ht="16.350000000000001" customHeight="1">
      <c r="S93" s="762">
        <f>Ram_1!AR89</f>
        <v>0</v>
      </c>
      <c r="W93" s="751" t="str">
        <f>'Translate&amp;Prices&amp;Logo'!$O$547</f>
        <v>Zawiasy do podnośników</v>
      </c>
      <c r="X93" s="751"/>
      <c r="Y93" s="751"/>
      <c r="Z93" s="751"/>
      <c r="AA93" s="751"/>
      <c r="AB93" s="56"/>
      <c r="AC93" s="750">
        <f>IFERROR((VLOOKUP(Ram_3!$H$18,$CK$2:$CL$90,2,0)),Ram_3!$H$18)</f>
        <v>0</v>
      </c>
      <c r="AD93" s="750"/>
      <c r="AE93" s="750"/>
      <c r="AF93" s="750"/>
      <c r="AG93" s="750"/>
      <c r="AH93" s="750"/>
      <c r="AI93" s="750"/>
      <c r="AJ93" s="750"/>
      <c r="AK93" s="750"/>
      <c r="AL93" s="750"/>
      <c r="AM93" s="750"/>
      <c r="AN93" s="750"/>
      <c r="AO93" s="750"/>
      <c r="AR93" s="766"/>
      <c r="CA93"/>
      <c r="CB93"/>
      <c r="CL93"/>
    </row>
    <row r="94" spans="10:90" ht="16.350000000000001" customHeight="1">
      <c r="S94" s="762">
        <f>Ram_1!AR90</f>
        <v>0</v>
      </c>
      <c r="W94" s="751" t="str">
        <f>'Translate&amp;Prices&amp;Logo'!$O$223</f>
        <v>Ilość zawiasów na 1 ramkę</v>
      </c>
      <c r="X94" s="751"/>
      <c r="Y94" s="751"/>
      <c r="Z94" s="751"/>
      <c r="AA94" s="751"/>
      <c r="AB94" s="56"/>
      <c r="AC94" s="750">
        <f>Ram_3!$H$19</f>
        <v>0</v>
      </c>
      <c r="AD94" s="750"/>
      <c r="AE94" s="750"/>
      <c r="AF94" s="750"/>
      <c r="AG94" s="750"/>
      <c r="AH94" s="750"/>
      <c r="AI94" s="750"/>
      <c r="AJ94" s="750"/>
      <c r="AK94" s="750"/>
      <c r="AL94" s="750"/>
      <c r="AM94" s="750"/>
      <c r="AN94" s="750"/>
      <c r="AO94" s="750"/>
      <c r="AR94" s="766"/>
      <c r="CA94"/>
      <c r="CB94"/>
      <c r="CL94"/>
    </row>
    <row r="95" spans="10:90" ht="16.350000000000001" customHeight="1">
      <c r="S95" s="763" t="str">
        <f>'Translate&amp;Prices&amp;Logo'!$O$176</f>
        <v>Wysokość</v>
      </c>
      <c r="W95" s="751" t="str">
        <f>IFERROR(('Translate&amp;Prices&amp;Logo'!$O$242&amp;" "&amp;VLOOKUP(Ram_3!H17,kombinace_1!$BY$32:$CC$35,5,0)),"")</f>
        <v/>
      </c>
      <c r="X95" s="751"/>
      <c r="Y95" s="751"/>
      <c r="Z95" s="751"/>
      <c r="AA95" s="751"/>
      <c r="AB95" s="56"/>
      <c r="AC95" s="750">
        <f>Ram_3!$F$20</f>
        <v>100</v>
      </c>
      <c r="AD95" s="750"/>
      <c r="AE95" s="750"/>
      <c r="AF95" s="750"/>
      <c r="AG95" s="751" t="str">
        <f>IFERROR(('Translate&amp;Prices&amp;Logo'!$O$242&amp;" "&amp;VLOOKUP(Ram_3!H17,kombinace_1!$BY$32:$CD$35,6,0)),"")</f>
        <v/>
      </c>
      <c r="AH95" s="751"/>
      <c r="AI95" s="751"/>
      <c r="AJ95" s="751"/>
      <c r="AK95" s="751"/>
      <c r="AL95" s="750">
        <f>Ram_3!$N$20</f>
        <v>100</v>
      </c>
      <c r="AM95" s="750"/>
      <c r="AN95" s="750"/>
      <c r="AO95" s="750"/>
      <c r="AR95" s="766"/>
      <c r="CA95"/>
      <c r="CB95"/>
      <c r="CL95"/>
    </row>
    <row r="96" spans="10:90" ht="16.350000000000001" customHeight="1">
      <c r="S96" s="763">
        <f>Ram_1!AR92</f>
        <v>0</v>
      </c>
      <c r="W96" s="250" t="str">
        <f>'Translate&amp;Prices&amp;Logo'!$O$653</f>
        <v>Wypełnienie z siatki</v>
      </c>
      <c r="X96" s="126"/>
      <c r="Y96" s="126"/>
      <c r="Z96" s="126"/>
      <c r="AA96" s="126"/>
      <c r="AB96" s="56"/>
      <c r="AC96" s="749" t="str">
        <f>IF(kombinace_3!FC2=TRUE,"Tak","Nie")</f>
        <v>Nie</v>
      </c>
      <c r="AD96" s="749"/>
      <c r="AE96" s="749"/>
      <c r="AF96" s="749"/>
      <c r="AG96" s="749"/>
      <c r="AH96" s="749"/>
      <c r="AI96" s="749"/>
      <c r="AJ96" s="749"/>
      <c r="AK96" s="749"/>
      <c r="AL96" s="749"/>
      <c r="AM96" s="749"/>
      <c r="AN96" s="749"/>
      <c r="AO96" s="749"/>
      <c r="AR96" s="766"/>
      <c r="CA96"/>
      <c r="CB96"/>
      <c r="CL96"/>
    </row>
    <row r="97" spans="4:90" ht="16.350000000000001" customHeight="1">
      <c r="S97" s="763">
        <f>Ram_1!AR93</f>
        <v>0</v>
      </c>
      <c r="W97" s="751" t="str">
        <f>'Translate&amp;Prices&amp;Logo'!$O$173</f>
        <v>Rodzaj szkła</v>
      </c>
      <c r="X97" s="751"/>
      <c r="Y97" s="751"/>
      <c r="Z97" s="751"/>
      <c r="AA97" s="751"/>
      <c r="AB97" s="56"/>
      <c r="AC97" s="750" t="str">
        <f>IFERROR(VLOOKUP(kombinace_3!$V$1,BX84:BY86,2,0),0)</f>
        <v>Bez modyfikacji</v>
      </c>
      <c r="AD97" s="750"/>
      <c r="AE97" s="750"/>
      <c r="AF97" s="750"/>
      <c r="AG97" s="750"/>
      <c r="AH97" s="750"/>
      <c r="AI97" s="750"/>
      <c r="AJ97" s="750"/>
      <c r="AK97" s="750"/>
      <c r="AL97" s="750"/>
      <c r="AM97" s="750"/>
      <c r="AN97" s="750"/>
      <c r="AO97" s="750"/>
      <c r="AR97" s="766"/>
      <c r="CA97"/>
      <c r="CB97"/>
      <c r="CL97"/>
    </row>
    <row r="98" spans="4:90" ht="16.350000000000001" customHeight="1">
      <c r="S98" s="763">
        <f>Ram_1!AR94</f>
        <v>0</v>
      </c>
      <c r="W98" s="751" t="str">
        <f>'Translate&amp;Prices&amp;Logo'!$O$562</f>
        <v>Rodzaj folii</v>
      </c>
      <c r="X98" s="751"/>
      <c r="Y98" s="751"/>
      <c r="Z98" s="751"/>
      <c r="AA98" s="751"/>
      <c r="AB98" s="56"/>
      <c r="AC98" s="750">
        <f>IFERROR(VLOOKUP(Ram_3!$H$24,CA12:CB29,2,0),0)</f>
        <v>0</v>
      </c>
      <c r="AD98" s="750"/>
      <c r="AE98" s="750"/>
      <c r="AF98" s="750"/>
      <c r="AG98" s="750"/>
      <c r="AH98" s="750"/>
      <c r="AI98" s="750"/>
      <c r="AJ98" s="750"/>
      <c r="AK98" s="750"/>
      <c r="AL98" s="750"/>
      <c r="AM98" s="750"/>
      <c r="AN98" s="750"/>
      <c r="AO98" s="750"/>
      <c r="AR98" s="766"/>
      <c r="CA98"/>
      <c r="CB98"/>
      <c r="CL98"/>
    </row>
    <row r="99" spans="4:90" ht="16.350000000000001" customHeight="1" thickBot="1">
      <c r="S99" s="764">
        <f>Ram_1!AR95</f>
        <v>0</v>
      </c>
      <c r="W99" s="751" t="str">
        <f>'Translate&amp;Prices&amp;Logo'!$O$173</f>
        <v>Rodzaj szkła</v>
      </c>
      <c r="X99" s="751"/>
      <c r="Y99" s="751"/>
      <c r="Z99" s="751"/>
      <c r="AA99" s="751"/>
      <c r="AB99" s="56"/>
      <c r="AC99" s="750">
        <f>IFERROR(VLOOKUP(Ram_3!$H$25,'Translate&amp;Prices&amp;Logo'!$AH$1:$AI$165,2,0),Ram_3!$H$25)</f>
        <v>0</v>
      </c>
      <c r="AD99" s="750"/>
      <c r="AE99" s="750"/>
      <c r="AF99" s="750"/>
      <c r="AG99" s="750"/>
      <c r="AH99" s="750"/>
      <c r="AI99" s="750"/>
      <c r="AJ99" s="750"/>
      <c r="AK99" s="750"/>
      <c r="AL99" s="750"/>
      <c r="AM99" s="750"/>
      <c r="AN99" s="750"/>
      <c r="AO99" s="750"/>
      <c r="AR99" s="766"/>
      <c r="CL99"/>
    </row>
    <row r="100" spans="4:90" ht="16.350000000000001" customHeight="1">
      <c r="W100" s="751" t="str">
        <f>'Translate&amp;Prices&amp;Logo'!$O$549</f>
        <v>Rozstaw uchwytu (mm)</v>
      </c>
      <c r="X100" s="751"/>
      <c r="Y100" s="751"/>
      <c r="Z100" s="751"/>
      <c r="AA100" s="751"/>
      <c r="AB100" s="56"/>
      <c r="AC100" s="750">
        <f>Ram_3!$H$26</f>
        <v>0</v>
      </c>
      <c r="AD100" s="750"/>
      <c r="AE100" s="750"/>
      <c r="AF100" s="750"/>
      <c r="AG100" s="750"/>
      <c r="AH100" s="750"/>
      <c r="AI100" s="750"/>
      <c r="AJ100" s="750"/>
      <c r="AK100" s="750"/>
      <c r="AL100" s="750"/>
      <c r="AM100" s="750"/>
      <c r="AN100" s="750"/>
      <c r="AO100" s="750"/>
      <c r="AR100" s="766"/>
      <c r="CK100"/>
      <c r="CL100"/>
    </row>
    <row r="101" spans="4:90" ht="16.350000000000001" customHeight="1">
      <c r="W101" s="751" t="str">
        <f>'Translate&amp;Prices&amp;Logo'!$O$550</f>
        <v>Umieszczenie uchwytu</v>
      </c>
      <c r="X101" s="751"/>
      <c r="Y101" s="751"/>
      <c r="Z101" s="751"/>
      <c r="AA101" s="751"/>
      <c r="AB101" s="56"/>
      <c r="AC101" s="750">
        <f>IFERROR(VLOOKUP(Ram_3!$H$27,BM42:BN65,2,0),0)</f>
        <v>0</v>
      </c>
      <c r="AD101" s="750"/>
      <c r="AE101" s="750"/>
      <c r="AF101" s="750"/>
      <c r="AG101" s="750"/>
      <c r="AH101" s="750"/>
      <c r="AI101" s="750"/>
      <c r="AJ101" s="750"/>
      <c r="AK101" s="750"/>
      <c r="AL101" s="750"/>
      <c r="AM101" s="750"/>
      <c r="AN101" s="750"/>
      <c r="AO101" s="750"/>
      <c r="AR101" s="766"/>
      <c r="CK101"/>
      <c r="CL101"/>
    </row>
    <row r="102" spans="4:90" ht="16.350000000000001" customHeight="1">
      <c r="W102" s="751" t="str">
        <f>('Translate&amp;Prices&amp;Logo'!$O$174)&amp;" "&amp;"-"&amp;" "&amp;('Translate&amp;Prices&amp;Logo'!$O$169)&amp;" "&amp;" "&amp;3</f>
        <v>Ilość sztuk - Ramka  3</v>
      </c>
      <c r="X102" s="751"/>
      <c r="Y102" s="751"/>
      <c r="Z102" s="751"/>
      <c r="AA102" s="751"/>
      <c r="AB102" s="56"/>
      <c r="AC102" s="750">
        <f>Ram_3!$H$28</f>
        <v>0</v>
      </c>
      <c r="AD102" s="750"/>
      <c r="AE102" s="750"/>
      <c r="AF102" s="750"/>
      <c r="AG102" s="750"/>
      <c r="AH102" s="750"/>
      <c r="AI102" s="750"/>
      <c r="AJ102" s="750"/>
      <c r="AK102" s="750"/>
      <c r="AL102" s="750"/>
      <c r="AM102" s="750"/>
      <c r="AN102" s="750"/>
      <c r="AO102" s="750"/>
      <c r="AR102" s="766"/>
      <c r="CK102"/>
      <c r="CL102"/>
    </row>
    <row r="103" spans="4:90" ht="16.350000000000001" customHeight="1">
      <c r="AE103" s="1"/>
      <c r="AF103" s="1"/>
      <c r="AR103" s="766"/>
      <c r="CK103"/>
      <c r="CL103"/>
    </row>
    <row r="104" spans="4:90" ht="14.85" customHeight="1">
      <c r="AR104" s="766"/>
      <c r="BS104" s="133" t="s">
        <v>2309</v>
      </c>
      <c r="BT104" s="133" t="s">
        <v>2305</v>
      </c>
      <c r="CK104"/>
      <c r="CL104"/>
    </row>
    <row r="105" spans="4:90" ht="14.85" customHeight="1">
      <c r="W105" s="756" t="s">
        <v>1604</v>
      </c>
      <c r="X105" s="756"/>
      <c r="Y105" s="756"/>
      <c r="Z105" s="756"/>
      <c r="AE105" s="756" t="s">
        <v>1605</v>
      </c>
      <c r="AF105" s="756"/>
      <c r="AG105" s="756"/>
      <c r="AH105" s="756"/>
      <c r="AR105" s="766"/>
      <c r="BS105" s="133" t="s">
        <v>2310</v>
      </c>
      <c r="BT105" s="133" t="s">
        <v>2306</v>
      </c>
      <c r="CK105"/>
      <c r="CL105"/>
    </row>
    <row r="106" spans="4:90" ht="14.85" customHeight="1">
      <c r="AE106" s="768"/>
      <c r="AF106" s="769"/>
      <c r="AG106" s="769"/>
      <c r="AH106" s="769"/>
      <c r="AI106" s="769"/>
      <c r="AJ106" s="769"/>
      <c r="AK106" s="769"/>
      <c r="AL106" s="769"/>
      <c r="AM106" s="769"/>
      <c r="AN106" s="770"/>
      <c r="AR106" s="766"/>
      <c r="BS106" s="133" t="s">
        <v>2311</v>
      </c>
      <c r="BT106" s="133" t="s">
        <v>2307</v>
      </c>
      <c r="CK106"/>
      <c r="CL106"/>
    </row>
    <row r="107" spans="4:90" ht="14.85" customHeight="1">
      <c r="AE107" s="771"/>
      <c r="AF107" s="772"/>
      <c r="AG107" s="772"/>
      <c r="AH107" s="772"/>
      <c r="AI107" s="772"/>
      <c r="AJ107" s="772"/>
      <c r="AK107" s="772"/>
      <c r="AL107" s="772"/>
      <c r="AM107" s="772"/>
      <c r="AN107" s="773"/>
      <c r="AR107" s="766"/>
      <c r="BS107" s="133" t="s">
        <v>2312</v>
      </c>
      <c r="BT107" s="133" t="s">
        <v>2308</v>
      </c>
      <c r="CK107"/>
      <c r="CL107"/>
    </row>
    <row r="108" spans="4:90" ht="14.85" customHeight="1">
      <c r="AE108" s="771"/>
      <c r="AF108" s="772"/>
      <c r="AG108" s="772"/>
      <c r="AH108" s="772"/>
      <c r="AI108" s="772"/>
      <c r="AJ108" s="772"/>
      <c r="AK108" s="772"/>
      <c r="AL108" s="772"/>
      <c r="AM108" s="772"/>
      <c r="AN108" s="773"/>
      <c r="AR108" s="766"/>
      <c r="CK108"/>
      <c r="CL108"/>
    </row>
    <row r="109" spans="4:90" ht="14.85" customHeight="1">
      <c r="D109" s="780">
        <f>IF(OR(Ram_3!$AC$25="x",Ram_3!$AJ$26="x",Ram_3!$AC$9="x",Ram_3!$AJ$7="x",Ram_3!$AB$16="x",Ram_3!$AM$23="x",Ram_3!$AN$19="x",Ram_3!$AD$10="x"),'Translate&amp;Prices&amp;Logo'!$B$588,0)</f>
        <v>0</v>
      </c>
      <c r="E109" s="780"/>
      <c r="F109" s="780"/>
      <c r="G109" s="780"/>
      <c r="H109" s="780"/>
      <c r="I109" s="780"/>
      <c r="J109" s="780"/>
      <c r="K109" s="780"/>
      <c r="L109" s="780"/>
      <c r="M109" s="780"/>
      <c r="N109" s="780"/>
      <c r="O109" s="780"/>
      <c r="P109" s="780"/>
      <c r="AE109" s="771"/>
      <c r="AF109" s="772"/>
      <c r="AG109" s="772"/>
      <c r="AH109" s="772"/>
      <c r="AI109" s="772"/>
      <c r="AJ109" s="772"/>
      <c r="AK109" s="772"/>
      <c r="AL109" s="772"/>
      <c r="AM109" s="772"/>
      <c r="AN109" s="773"/>
      <c r="AR109" s="766"/>
      <c r="CK109"/>
      <c r="CL109"/>
    </row>
    <row r="110" spans="4:90" ht="14.85" customHeight="1">
      <c r="AE110" s="771"/>
      <c r="AF110" s="772"/>
      <c r="AG110" s="772"/>
      <c r="AH110" s="772"/>
      <c r="AI110" s="772"/>
      <c r="AJ110" s="772"/>
      <c r="AK110" s="772"/>
      <c r="AL110" s="772"/>
      <c r="AM110" s="772"/>
      <c r="AN110" s="773"/>
      <c r="AR110" s="766"/>
      <c r="CK110"/>
      <c r="CL110"/>
    </row>
    <row r="111" spans="4:90" ht="14.85" customHeight="1" thickBot="1">
      <c r="AE111" s="771"/>
      <c r="AF111" s="772"/>
      <c r="AG111" s="772"/>
      <c r="AH111" s="772"/>
      <c r="AI111" s="772"/>
      <c r="AJ111" s="772"/>
      <c r="AK111" s="772"/>
      <c r="AL111" s="772"/>
      <c r="AM111" s="772"/>
      <c r="AN111" s="773"/>
      <c r="AR111" s="766"/>
      <c r="CK111"/>
      <c r="CL111"/>
    </row>
    <row r="112" spans="4:90" ht="14.85" customHeight="1" thickBot="1">
      <c r="G112" s="757" t="str">
        <f>'Translate&amp;Prices&amp;Logo'!$O$175</f>
        <v>Szerokość</v>
      </c>
      <c r="H112" s="758">
        <f>Ram_1!AG102</f>
        <v>0</v>
      </c>
      <c r="I112" s="758">
        <f>Ram_1!AH102</f>
        <v>0</v>
      </c>
      <c r="J112" s="759">
        <f>Ram_3!AI30</f>
        <v>0</v>
      </c>
      <c r="K112" s="759">
        <f>Ram_1!AJ102</f>
        <v>0</v>
      </c>
      <c r="L112" s="760">
        <f>Ram_1!AK102</f>
        <v>0</v>
      </c>
      <c r="AE112" s="771"/>
      <c r="AF112" s="772"/>
      <c r="AG112" s="772"/>
      <c r="AH112" s="772"/>
      <c r="AI112" s="772"/>
      <c r="AJ112" s="772"/>
      <c r="AK112" s="772"/>
      <c r="AL112" s="772"/>
      <c r="AM112" s="772"/>
      <c r="AN112" s="773"/>
      <c r="AR112" s="766"/>
      <c r="CK112"/>
      <c r="CL112"/>
    </row>
    <row r="113" spans="1:101" ht="21" customHeight="1">
      <c r="AE113" s="774"/>
      <c r="AF113" s="775"/>
      <c r="AG113" s="775"/>
      <c r="AH113" s="775"/>
      <c r="AI113" s="775"/>
      <c r="AJ113" s="775"/>
      <c r="AK113" s="775"/>
      <c r="AL113" s="775"/>
      <c r="AM113" s="775"/>
      <c r="AN113" s="776"/>
      <c r="AR113" s="766"/>
      <c r="CK113"/>
      <c r="CL113"/>
    </row>
    <row r="114" spans="1:101" ht="14.85" customHeight="1">
      <c r="AR114" s="766"/>
      <c r="CK114"/>
      <c r="CL114"/>
      <c r="CM114" s="31"/>
      <c r="CN114" s="31"/>
      <c r="CO114" s="31"/>
      <c r="CP114" s="31"/>
      <c r="CQ114" s="31"/>
      <c r="CR114" s="31"/>
      <c r="CS114" s="31"/>
      <c r="CT114" s="31"/>
      <c r="CU114" s="31"/>
      <c r="CV114" s="31"/>
      <c r="CW114" s="31"/>
    </row>
    <row r="115" spans="1:101" ht="14.85" customHeight="1">
      <c r="AR115" s="766"/>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55" t="str">
        <f>'Translate&amp;Prices&amp;Logo'!$O$256</f>
        <v>Numer zamówienia</v>
      </c>
      <c r="X117" s="755"/>
      <c r="Y117" s="755"/>
      <c r="Z117" s="755"/>
      <c r="AA117" s="755"/>
      <c r="AB117" s="56"/>
      <c r="AC117" s="752">
        <f>Ram_4!AS5</f>
        <v>0</v>
      </c>
      <c r="AD117" s="753"/>
      <c r="AE117" s="753"/>
      <c r="AF117" s="753"/>
      <c r="AG117" s="753"/>
      <c r="AH117" s="753"/>
      <c r="AI117" s="753"/>
      <c r="AJ117" s="753"/>
      <c r="AK117" s="753"/>
      <c r="AL117" s="753"/>
      <c r="AM117" s="753"/>
      <c r="AN117" s="753"/>
      <c r="AO117" s="754"/>
      <c r="AR117" s="766" t="s">
        <v>1609</v>
      </c>
      <c r="CK117"/>
      <c r="CL117"/>
    </row>
    <row r="118" spans="1:101" ht="16.350000000000001" customHeight="1">
      <c r="W118" s="751" t="str">
        <f>'Translate&amp;Prices&amp;Logo'!$O$542</f>
        <v>Połączenie 2 profili</v>
      </c>
      <c r="X118" s="751"/>
      <c r="Y118" s="751"/>
      <c r="Z118" s="751"/>
      <c r="AA118" s="751"/>
      <c r="AB118" s="56"/>
      <c r="AC118" s="765" t="str">
        <f>IF(kombinace_4!$H$1=TRUE,"Tak","Nie")</f>
        <v>Nie</v>
      </c>
      <c r="AD118" s="765"/>
      <c r="AE118" s="765"/>
      <c r="AF118" s="765"/>
      <c r="AG118" s="765"/>
      <c r="AH118" s="765"/>
      <c r="AI118" s="765"/>
      <c r="AJ118" s="765"/>
      <c r="AK118" s="765"/>
      <c r="AL118" s="765"/>
      <c r="AM118" s="765"/>
      <c r="AN118" s="765"/>
      <c r="AO118" s="765"/>
      <c r="AR118" s="766"/>
      <c r="CK118"/>
      <c r="CL118"/>
    </row>
    <row r="119" spans="1:101" ht="16.350000000000001" customHeight="1">
      <c r="W119" s="751" t="str">
        <f>'Translate&amp;Prices&amp;Logo'!$O$172</f>
        <v>Rodzaj profilu</v>
      </c>
      <c r="X119" s="751"/>
      <c r="Y119" s="751"/>
      <c r="Z119" s="751"/>
      <c r="AA119" s="751"/>
      <c r="AB119" s="56"/>
      <c r="AC119" s="750">
        <f>IFERROR(VLOOKUP(Ram_4!$H$8,'Translate&amp;Prices&amp;Logo'!AA1:AB312,2,0),Ram_4!$H$8)</f>
        <v>0</v>
      </c>
      <c r="AD119" s="750"/>
      <c r="AE119" s="750"/>
      <c r="AF119" s="750"/>
      <c r="AG119" s="750"/>
      <c r="AH119" s="750"/>
      <c r="AI119" s="750"/>
      <c r="AJ119" s="750"/>
      <c r="AK119" s="750"/>
      <c r="AL119" s="750"/>
      <c r="AM119" s="750"/>
      <c r="AN119" s="750"/>
      <c r="AO119" s="750"/>
      <c r="AR119" s="766"/>
      <c r="CK119"/>
      <c r="CL119"/>
    </row>
    <row r="120" spans="1:101" ht="16.350000000000001" customHeight="1">
      <c r="W120" s="751" t="str">
        <f>'Translate&amp;Prices&amp;Logo'!$O$543</f>
        <v>Szprosy</v>
      </c>
      <c r="X120" s="751"/>
      <c r="Y120" s="751"/>
      <c r="Z120" s="751"/>
      <c r="AA120" s="751"/>
      <c r="AB120" s="56"/>
      <c r="AC120" s="750" t="str">
        <f>IFERROR(VLOOKUP(Ram_4!$AU$10,AU120:AV123,2,0),0)</f>
        <v>Nie</v>
      </c>
      <c r="AD120" s="750"/>
      <c r="AE120" s="750"/>
      <c r="AF120" s="750"/>
      <c r="AG120" s="750"/>
      <c r="AH120" s="750"/>
      <c r="AI120" s="750"/>
      <c r="AJ120" s="750"/>
      <c r="AK120" s="750"/>
      <c r="AL120" s="750"/>
      <c r="AM120" s="750"/>
      <c r="AN120" s="750"/>
      <c r="AO120" s="750"/>
      <c r="AR120" s="766"/>
      <c r="AU120">
        <v>0</v>
      </c>
      <c r="AV120" t="str">
        <f>'Translate&amp;Prices&amp;Logo'!$O$557</f>
        <v>Nie</v>
      </c>
      <c r="AZ120">
        <v>2</v>
      </c>
      <c r="BA120" t="str">
        <f>'Translate&amp;Prices&amp;Logo'!$O$551</f>
        <v>Zawiasy</v>
      </c>
      <c r="BX120" s="1">
        <v>1</v>
      </c>
      <c r="BY120" s="1" t="str">
        <f>'Translate&amp;Prices&amp;Logo'!$O$100</f>
        <v>Bez modyfikacji</v>
      </c>
      <c r="CA120"/>
      <c r="CB120"/>
    </row>
    <row r="121" spans="1:101" ht="16.350000000000001" customHeight="1">
      <c r="W121" s="126"/>
      <c r="X121" s="126"/>
      <c r="Y121" s="126"/>
      <c r="Z121" s="126"/>
      <c r="AA121" s="126"/>
      <c r="AB121" s="56"/>
      <c r="AC121" s="767" t="str">
        <f>'Translate&amp;Prices&amp;Logo'!$O$558</f>
        <v>Poziomo (termin dostawy 4 tygodnie)</v>
      </c>
      <c r="AD121" s="767"/>
      <c r="AE121" s="767"/>
      <c r="AF121" s="767"/>
      <c r="AG121" s="767"/>
      <c r="AH121" s="767"/>
      <c r="AI121" s="767"/>
      <c r="AJ121" s="767" t="str">
        <f>'Translate&amp;Prices&amp;Logo'!$O$559</f>
        <v>Pionowo (termin dostawy 4 tygodnie)</v>
      </c>
      <c r="AK121" s="767"/>
      <c r="AL121" s="767"/>
      <c r="AM121" s="767"/>
      <c r="AN121" s="767"/>
      <c r="AO121" s="767"/>
      <c r="AR121" s="766"/>
      <c r="AU121">
        <v>1</v>
      </c>
      <c r="AV121" t="str">
        <f>'Translate&amp;Prices&amp;Logo'!$O$558</f>
        <v>Poziomo (termin dostawy 4 tygodnie)</v>
      </c>
      <c r="AZ121">
        <v>3</v>
      </c>
      <c r="BA121" t="str">
        <f>'Translate&amp;Prices&amp;Logo'!$O$552</f>
        <v>Podnośniki</v>
      </c>
      <c r="BX121" s="1">
        <v>2</v>
      </c>
      <c r="BY121" s="1" t="str">
        <f>'Translate&amp;Prices&amp;Logo'!$O$101</f>
        <v>Hartowane</v>
      </c>
      <c r="CA121"/>
      <c r="CB121"/>
    </row>
    <row r="122" spans="1:101" ht="16.350000000000001" customHeight="1">
      <c r="W122" s="751" t="str">
        <f>('Translate&amp;Prices&amp;Logo'!$O$543)&amp;" "&amp;"("&amp;'Translate&amp;Prices&amp;Logo'!$O$174&amp;")"</f>
        <v>Szprosy (Ilość sztuk)</v>
      </c>
      <c r="X122" s="751"/>
      <c r="Y122" s="751"/>
      <c r="Z122" s="751"/>
      <c r="AA122" s="751"/>
      <c r="AB122" s="56"/>
      <c r="AC122" s="750">
        <f>Ram_4!$H$11</f>
        <v>0</v>
      </c>
      <c r="AD122" s="750"/>
      <c r="AE122" s="750"/>
      <c r="AF122" s="750"/>
      <c r="AG122" s="750"/>
      <c r="AH122" s="750"/>
      <c r="AI122" s="750"/>
      <c r="AJ122" s="750">
        <f>Ram_4!$M$11</f>
        <v>0</v>
      </c>
      <c r="AK122" s="750"/>
      <c r="AL122" s="750"/>
      <c r="AM122" s="750"/>
      <c r="AN122" s="750"/>
      <c r="AO122" s="750"/>
      <c r="AR122" s="766"/>
      <c r="AU122">
        <v>2</v>
      </c>
      <c r="AV122" t="str">
        <f>'Translate&amp;Prices&amp;Logo'!$O$559</f>
        <v>Pionowo (termin dostawy 4 tygodnie)</v>
      </c>
      <c r="BX122" s="1">
        <v>3</v>
      </c>
      <c r="BY122" s="1" t="str">
        <f>'Translate&amp;Prices&amp;Logo'!$O$102</f>
        <v>Folia</v>
      </c>
      <c r="CA122"/>
      <c r="CB122"/>
    </row>
    <row r="123" spans="1:101" ht="16.350000000000001" customHeight="1">
      <c r="W123" s="751" t="str">
        <f>'Translate&amp;Prices&amp;Logo'!$O$258</f>
        <v>Typ okucia</v>
      </c>
      <c r="X123" s="751"/>
      <c r="Y123" s="751"/>
      <c r="Z123" s="751"/>
      <c r="AA123" s="751"/>
      <c r="AB123" s="56"/>
      <c r="AC123" s="750">
        <f>IFERROR(VLOOKUP(Ram_4!$AU$9,AZ120:BA121,2,0),0)</f>
        <v>0</v>
      </c>
      <c r="AD123" s="750"/>
      <c r="AE123" s="750"/>
      <c r="AF123" s="750"/>
      <c r="AG123" s="750"/>
      <c r="AH123" s="750"/>
      <c r="AI123" s="750"/>
      <c r="AJ123" s="750"/>
      <c r="AK123" s="750"/>
      <c r="AL123" s="750"/>
      <c r="AM123" s="750"/>
      <c r="AN123" s="750"/>
      <c r="AO123" s="750"/>
      <c r="AR123" s="766"/>
      <c r="AU123">
        <v>3</v>
      </c>
      <c r="AV123" t="str">
        <f>'Translate&amp;Prices&amp;Logo'!$O$560</f>
        <v>Poziomo i pionowo (termin dostawy 4 tygodnie)</v>
      </c>
      <c r="CA123"/>
      <c r="CB123"/>
    </row>
    <row r="124" spans="1:101" ht="16.350000000000001" customHeight="1">
      <c r="W124" s="751" t="str">
        <f>'Translate&amp;Prices&amp;Logo'!$O$544</f>
        <v>Marka okucia</v>
      </c>
      <c r="X124" s="751"/>
      <c r="Y124" s="751"/>
      <c r="Z124" s="751"/>
      <c r="AA124" s="751"/>
      <c r="AB124" s="56"/>
      <c r="AC124" s="750">
        <f>Ram_4!$H$13</f>
        <v>0</v>
      </c>
      <c r="AD124" s="750"/>
      <c r="AE124" s="750"/>
      <c r="AF124" s="750"/>
      <c r="AG124" s="750"/>
      <c r="AH124" s="750"/>
      <c r="AI124" s="750"/>
      <c r="AJ124" s="750"/>
      <c r="AK124" s="750"/>
      <c r="AL124" s="750"/>
      <c r="AM124" s="750"/>
      <c r="AN124" s="750"/>
      <c r="AO124" s="750"/>
      <c r="AR124" s="766"/>
      <c r="CA124"/>
      <c r="CB124"/>
    </row>
    <row r="125" spans="1:101" ht="16.350000000000001" customHeight="1" thickBot="1">
      <c r="W125" s="751" t="str">
        <f>'Translate&amp;Prices&amp;Logo'!$O$546</f>
        <v>Nałożenie</v>
      </c>
      <c r="X125" s="751"/>
      <c r="Y125" s="751"/>
      <c r="Z125" s="751"/>
      <c r="AA125" s="751"/>
      <c r="AB125" s="56"/>
      <c r="AC125" s="750">
        <f>IFERROR(VLOOKUP(Ram_4!$H$14,$BD$12:$BE$29,2,0),0)</f>
        <v>0</v>
      </c>
      <c r="AD125" s="750"/>
      <c r="AE125" s="750"/>
      <c r="AF125" s="750"/>
      <c r="AG125" s="750"/>
      <c r="AH125" s="750"/>
      <c r="AI125" s="750"/>
      <c r="AJ125" s="750"/>
      <c r="AK125" s="750"/>
      <c r="AL125" s="750"/>
      <c r="AM125" s="750"/>
      <c r="AN125" s="750"/>
      <c r="AO125" s="750"/>
      <c r="AR125" s="766"/>
      <c r="CA125"/>
      <c r="CB125"/>
    </row>
    <row r="126" spans="1:101" ht="16.350000000000001" customHeight="1">
      <c r="S126" s="761">
        <f>Ram_4!AR14</f>
        <v>0</v>
      </c>
      <c r="W126" s="751" t="str">
        <f>'Translate&amp;Prices&amp;Logo'!$O$545</f>
        <v>Wariant okucia</v>
      </c>
      <c r="X126" s="751"/>
      <c r="Y126" s="751"/>
      <c r="Z126" s="751"/>
      <c r="AA126" s="751"/>
      <c r="AB126" s="56"/>
      <c r="AC126" s="777">
        <f>IFERROR(VLOOKUP(Ram_4!$H$15,kombinace_1!$ED$2:$EE$758,2,0),Ram_4!$H$15)</f>
        <v>0</v>
      </c>
      <c r="AD126" s="777"/>
      <c r="AE126" s="777"/>
      <c r="AF126" s="777"/>
      <c r="AG126" s="777"/>
      <c r="AH126" s="777"/>
      <c r="AI126" s="777"/>
      <c r="AJ126" s="750" t="str">
        <f>IF(AC126='Translate&amp;Prices&amp;Logo'!C698,VLOOKUP(Ram_4!H17,'Translate&amp;Prices&amp;Logo'!C699:D746,2,0),"")</f>
        <v/>
      </c>
      <c r="AK126" s="750"/>
      <c r="AL126" s="750"/>
      <c r="AM126" s="750"/>
      <c r="AN126" s="750"/>
      <c r="AO126" s="750"/>
      <c r="AR126" s="766"/>
      <c r="CA126"/>
      <c r="CB126"/>
    </row>
    <row r="127" spans="1:101" ht="16.350000000000001" customHeight="1">
      <c r="S127" s="762">
        <f>Ram_1!AR123</f>
        <v>0</v>
      </c>
      <c r="W127" s="751" t="str">
        <f>'Translate&amp;Prices&amp;Logo'!$O$218</f>
        <v>Wybierz pozycję ramki</v>
      </c>
      <c r="X127" s="751"/>
      <c r="Y127" s="751"/>
      <c r="Z127" s="751"/>
      <c r="AA127" s="751"/>
      <c r="AB127" s="750">
        <f>IFERROR(VLOOKUP(Ram_4!$F$16,BI12:BJ23,2,0),0)</f>
        <v>0</v>
      </c>
      <c r="AC127" s="750"/>
      <c r="AD127" s="750"/>
      <c r="AE127" s="750"/>
      <c r="AF127" s="750"/>
      <c r="AG127" s="778" t="str">
        <f>'Translate&amp;Prices&amp;Logo'!$O$232</f>
        <v>Rodzaj drugiej ramki</v>
      </c>
      <c r="AH127" s="778"/>
      <c r="AI127" s="778"/>
      <c r="AJ127" s="750">
        <f>IFERROR(VLOOKUP(Ram_4!$N$16,BM12:BN41,2,0),0)</f>
        <v>0</v>
      </c>
      <c r="AK127" s="750"/>
      <c r="AL127" s="750"/>
      <c r="AM127" s="750"/>
      <c r="AN127" s="750"/>
      <c r="AO127" s="750"/>
      <c r="AR127" s="766"/>
      <c r="CA127"/>
      <c r="CB127"/>
    </row>
    <row r="128" spans="1:101" ht="16.350000000000001" customHeight="1">
      <c r="S128" s="762">
        <f>Ram_1!AR124</f>
        <v>0</v>
      </c>
      <c r="W128" s="751" t="str">
        <f>IF(AC123='Translate&amp;Prices&amp;Logo'!O551,'Translate&amp;Prices&amp;Logo'!O238,'Translate&amp;Prices&amp;Logo'!$O$226)</f>
        <v>Umieszczenie</v>
      </c>
      <c r="X128" s="751"/>
      <c r="Y128" s="751"/>
      <c r="Z128" s="751"/>
      <c r="AA128" s="751"/>
      <c r="AB128" s="56"/>
      <c r="AC128" s="750" t="str">
        <f>IFERROR((IF(Ram_4!H12='Translate&amp;Prices&amp;Logo'!B552,VLOOKUP(Ram_4!$N$16,BM42:BN71,2,0),VLOOKUP(Ram_4!$H$17,BM42:BN65,2,0))),"")</f>
        <v/>
      </c>
      <c r="AD128" s="750"/>
      <c r="AE128" s="750"/>
      <c r="AF128" s="750"/>
      <c r="AG128" s="750"/>
      <c r="AH128" s="750"/>
      <c r="AI128" s="750"/>
      <c r="AJ128" s="750"/>
      <c r="AK128" s="750"/>
      <c r="AL128" s="750"/>
      <c r="AM128" s="750"/>
      <c r="AN128" s="750"/>
      <c r="AO128" s="750"/>
      <c r="AR128" s="766"/>
      <c r="CA128"/>
      <c r="CB128"/>
    </row>
    <row r="129" spans="19:80" ht="16.350000000000001" customHeight="1">
      <c r="S129" s="762">
        <f>Ram_1!AR125</f>
        <v>0</v>
      </c>
      <c r="W129" s="751" t="str">
        <f>'Translate&amp;Prices&amp;Logo'!$O$547</f>
        <v>Zawiasy do podnośników</v>
      </c>
      <c r="X129" s="751"/>
      <c r="Y129" s="751"/>
      <c r="Z129" s="751"/>
      <c r="AA129" s="751"/>
      <c r="AB129" s="56"/>
      <c r="AC129" s="750">
        <f>IFERROR((VLOOKUP(Ram_4!$H$18,$CK$2:$CL$90,2,0)),Ram_4!$H$18)</f>
        <v>0</v>
      </c>
      <c r="AD129" s="750"/>
      <c r="AE129" s="750"/>
      <c r="AF129" s="750"/>
      <c r="AG129" s="750"/>
      <c r="AH129" s="750"/>
      <c r="AI129" s="750"/>
      <c r="AJ129" s="750"/>
      <c r="AK129" s="750"/>
      <c r="AL129" s="750"/>
      <c r="AM129" s="750"/>
      <c r="AN129" s="750"/>
      <c r="AO129" s="750"/>
      <c r="AR129" s="766"/>
      <c r="CA129"/>
      <c r="CB129"/>
    </row>
    <row r="130" spans="19:80" ht="16.350000000000001" customHeight="1">
      <c r="S130" s="762">
        <f>Ram_1!AR126</f>
        <v>0</v>
      </c>
      <c r="W130" s="751" t="str">
        <f>'Translate&amp;Prices&amp;Logo'!$O$223</f>
        <v>Ilość zawiasów na 1 ramkę</v>
      </c>
      <c r="X130" s="751"/>
      <c r="Y130" s="751"/>
      <c r="Z130" s="751"/>
      <c r="AA130" s="751"/>
      <c r="AB130" s="56"/>
      <c r="AC130" s="750">
        <f>Ram_4!$H$19</f>
        <v>0</v>
      </c>
      <c r="AD130" s="750"/>
      <c r="AE130" s="750"/>
      <c r="AF130" s="750"/>
      <c r="AG130" s="750"/>
      <c r="AH130" s="750"/>
      <c r="AI130" s="750"/>
      <c r="AJ130" s="750"/>
      <c r="AK130" s="750"/>
      <c r="AL130" s="750"/>
      <c r="AM130" s="750"/>
      <c r="AN130" s="750"/>
      <c r="AO130" s="750"/>
      <c r="AR130" s="766"/>
      <c r="CA130"/>
      <c r="CB130"/>
    </row>
    <row r="131" spans="19:80" ht="16.350000000000001" customHeight="1">
      <c r="S131" s="763" t="str">
        <f>'Translate&amp;Prices&amp;Logo'!$O$176</f>
        <v>Wysokość</v>
      </c>
      <c r="W131" s="751" t="e">
        <f>'Translate&amp;Prices&amp;Logo'!$O$242&amp;" "&amp;VLOOKUP(Ram_4!H17,kombinace_1!$BY$32:$CC$35,5,0)</f>
        <v>#N/A</v>
      </c>
      <c r="X131" s="751"/>
      <c r="Y131" s="751"/>
      <c r="Z131" s="751"/>
      <c r="AA131" s="751"/>
      <c r="AB131" s="750">
        <f>Ram_4!$F$20</f>
        <v>100</v>
      </c>
      <c r="AC131" s="750"/>
      <c r="AD131" s="750"/>
      <c r="AE131" s="750"/>
      <c r="AF131" s="750"/>
      <c r="AG131" s="751" t="e">
        <f>'Translate&amp;Prices&amp;Logo'!$O$242&amp;" "&amp;VLOOKUP(Ram_4!H17,kombinace_1!$BY$32:$CD$35,6,0)</f>
        <v>#N/A</v>
      </c>
      <c r="AH131" s="751"/>
      <c r="AI131" s="751"/>
      <c r="AJ131" s="751"/>
      <c r="AK131" s="751"/>
      <c r="AL131" s="750">
        <f>Ram_4!$N$20</f>
        <v>100</v>
      </c>
      <c r="AM131" s="750"/>
      <c r="AN131" s="750"/>
      <c r="AO131" s="750"/>
      <c r="AR131" s="766"/>
      <c r="CA131"/>
      <c r="CB131"/>
    </row>
    <row r="132" spans="19:80" ht="16.350000000000001" customHeight="1">
      <c r="S132" s="763">
        <f>Ram_1!AR128</f>
        <v>0</v>
      </c>
      <c r="W132" s="250" t="str">
        <f>'Translate&amp;Prices&amp;Logo'!$O$653</f>
        <v>Wypełnienie z siatki</v>
      </c>
      <c r="X132" s="126"/>
      <c r="Y132" s="126"/>
      <c r="Z132" s="126"/>
      <c r="AA132" s="126"/>
      <c r="AB132" s="56"/>
      <c r="AC132" s="749" t="str">
        <f>IF(kombinace_4!FC2=TRUE,"Tak","Nie")</f>
        <v>Nie</v>
      </c>
      <c r="AD132" s="749"/>
      <c r="AE132" s="749"/>
      <c r="AF132" s="749"/>
      <c r="AG132" s="749"/>
      <c r="AH132" s="749"/>
      <c r="AI132" s="749"/>
      <c r="AJ132" s="749"/>
      <c r="AK132" s="749"/>
      <c r="AL132" s="749"/>
      <c r="AM132" s="749"/>
      <c r="AN132" s="749"/>
      <c r="AO132" s="749"/>
      <c r="AR132" s="766"/>
      <c r="CA132"/>
      <c r="CB132"/>
    </row>
    <row r="133" spans="19:80" ht="16.350000000000001" customHeight="1">
      <c r="S133" s="763">
        <f>Ram_1!AR129</f>
        <v>0</v>
      </c>
      <c r="W133" s="751" t="str">
        <f>'Translate&amp;Prices&amp;Logo'!$O$173</f>
        <v>Rodzaj szkła</v>
      </c>
      <c r="X133" s="751"/>
      <c r="Y133" s="751"/>
      <c r="Z133" s="751"/>
      <c r="AA133" s="751"/>
      <c r="AB133" s="56"/>
      <c r="AC133" s="750" t="str">
        <f>IFERROR(VLOOKUP(kombinace_4!$V$1,BX120:BY122,2,0),0)</f>
        <v>Bez modyfikacji</v>
      </c>
      <c r="AD133" s="750"/>
      <c r="AE133" s="750"/>
      <c r="AF133" s="750"/>
      <c r="AG133" s="750"/>
      <c r="AH133" s="750"/>
      <c r="AI133" s="750"/>
      <c r="AJ133" s="750"/>
      <c r="AK133" s="750"/>
      <c r="AL133" s="750"/>
      <c r="AM133" s="750"/>
      <c r="AN133" s="750"/>
      <c r="AO133" s="750"/>
      <c r="AR133" s="766"/>
      <c r="CA133"/>
      <c r="CB133"/>
    </row>
    <row r="134" spans="19:80" ht="16.350000000000001" customHeight="1">
      <c r="S134" s="763">
        <f>Ram_1!AR130</f>
        <v>0</v>
      </c>
      <c r="W134" s="751" t="str">
        <f>'Translate&amp;Prices&amp;Logo'!$O$562</f>
        <v>Rodzaj folii</v>
      </c>
      <c r="X134" s="751"/>
      <c r="Y134" s="751"/>
      <c r="Z134" s="751"/>
      <c r="AA134" s="751"/>
      <c r="AB134" s="56"/>
      <c r="AC134" s="750">
        <f>IFERROR(VLOOKUP(Ram_4!$H$24,CA12:CB29,2,0),0)</f>
        <v>0</v>
      </c>
      <c r="AD134" s="750"/>
      <c r="AE134" s="750"/>
      <c r="AF134" s="750"/>
      <c r="AG134" s="750"/>
      <c r="AH134" s="750"/>
      <c r="AI134" s="750"/>
      <c r="AJ134" s="750"/>
      <c r="AK134" s="750"/>
      <c r="AL134" s="750"/>
      <c r="AM134" s="750"/>
      <c r="AN134" s="750"/>
      <c r="AO134" s="750"/>
      <c r="AR134" s="766"/>
      <c r="CA134"/>
      <c r="CB134"/>
    </row>
    <row r="135" spans="19:80" ht="16.350000000000001" customHeight="1" thickBot="1">
      <c r="S135" s="764">
        <f>Ram_1!AR131</f>
        <v>0</v>
      </c>
      <c r="W135" s="751" t="str">
        <f>'Translate&amp;Prices&amp;Logo'!$O$173</f>
        <v>Rodzaj szkła</v>
      </c>
      <c r="X135" s="751"/>
      <c r="Y135" s="751"/>
      <c r="Z135" s="751"/>
      <c r="AA135" s="751"/>
      <c r="AB135" s="56"/>
      <c r="AC135" s="750">
        <f>IFERROR(VLOOKUP(Ram_4!$H$25,'Translate&amp;Prices&amp;Logo'!$AH$1:$AI$165,2,0),Ram_4!$H$25)</f>
        <v>0</v>
      </c>
      <c r="AD135" s="750"/>
      <c r="AE135" s="750"/>
      <c r="AF135" s="750"/>
      <c r="AG135" s="750"/>
      <c r="AH135" s="750"/>
      <c r="AI135" s="750"/>
      <c r="AJ135" s="750"/>
      <c r="AK135" s="750"/>
      <c r="AL135" s="750"/>
      <c r="AM135" s="750"/>
      <c r="AN135" s="750"/>
      <c r="AO135" s="750"/>
      <c r="AR135" s="766"/>
    </row>
    <row r="136" spans="19:80" ht="16.350000000000001" customHeight="1">
      <c r="W136" s="751" t="str">
        <f>'Translate&amp;Prices&amp;Logo'!$O$549</f>
        <v>Rozstaw uchwytu (mm)</v>
      </c>
      <c r="X136" s="751"/>
      <c r="Y136" s="751"/>
      <c r="Z136" s="751"/>
      <c r="AA136" s="751"/>
      <c r="AB136" s="56"/>
      <c r="AC136" s="750">
        <f>Ram_4!$H$26</f>
        <v>0</v>
      </c>
      <c r="AD136" s="750"/>
      <c r="AE136" s="750"/>
      <c r="AF136" s="750"/>
      <c r="AG136" s="750"/>
      <c r="AH136" s="750"/>
      <c r="AI136" s="750"/>
      <c r="AJ136" s="750"/>
      <c r="AK136" s="750"/>
      <c r="AL136" s="750"/>
      <c r="AM136" s="750"/>
      <c r="AN136" s="750"/>
      <c r="AO136" s="750"/>
      <c r="AR136" s="766"/>
    </row>
    <row r="137" spans="19:80" ht="16.350000000000001" customHeight="1">
      <c r="W137" s="751" t="str">
        <f>'Translate&amp;Prices&amp;Logo'!$O$550</f>
        <v>Umieszczenie uchwytu</v>
      </c>
      <c r="X137" s="751"/>
      <c r="Y137" s="751"/>
      <c r="Z137" s="751"/>
      <c r="AA137" s="751"/>
      <c r="AB137" s="56"/>
      <c r="AC137" s="750">
        <f>IFERROR(VLOOKUP(Ram_4!$H$27,BM42:BN65,2,0),0)</f>
        <v>0</v>
      </c>
      <c r="AD137" s="750"/>
      <c r="AE137" s="750"/>
      <c r="AF137" s="750"/>
      <c r="AG137" s="750"/>
      <c r="AH137" s="750"/>
      <c r="AI137" s="750"/>
      <c r="AJ137" s="750"/>
      <c r="AK137" s="750"/>
      <c r="AL137" s="750"/>
      <c r="AM137" s="750"/>
      <c r="AN137" s="750"/>
      <c r="AO137" s="750"/>
      <c r="AR137" s="766"/>
    </row>
    <row r="138" spans="19:80" ht="16.350000000000001" customHeight="1">
      <c r="W138" s="751" t="str">
        <f>('Translate&amp;Prices&amp;Logo'!$O$174)&amp;" "&amp;"-"&amp;" "&amp;('Translate&amp;Prices&amp;Logo'!$O$169)&amp;" "&amp;" "&amp;4</f>
        <v>Ilość sztuk - Ramka  4</v>
      </c>
      <c r="X138" s="751"/>
      <c r="Y138" s="751"/>
      <c r="Z138" s="751"/>
      <c r="AA138" s="751"/>
      <c r="AB138" s="56"/>
      <c r="AC138" s="750">
        <f>Ram_4!$H$28</f>
        <v>0</v>
      </c>
      <c r="AD138" s="750"/>
      <c r="AE138" s="750"/>
      <c r="AF138" s="750"/>
      <c r="AG138" s="750"/>
      <c r="AH138" s="750"/>
      <c r="AI138" s="750"/>
      <c r="AJ138" s="750"/>
      <c r="AK138" s="750"/>
      <c r="AL138" s="750"/>
      <c r="AM138" s="750"/>
      <c r="AN138" s="750"/>
      <c r="AO138" s="750"/>
      <c r="AR138" s="766"/>
    </row>
    <row r="139" spans="19:80" ht="16.350000000000001" customHeight="1">
      <c r="AE139" s="1"/>
      <c r="AF139" s="1"/>
      <c r="AR139" s="766"/>
    </row>
    <row r="140" spans="19:80" ht="14.85" customHeight="1">
      <c r="AR140" s="766"/>
    </row>
    <row r="141" spans="19:80" ht="14.85" customHeight="1">
      <c r="W141" s="756" t="s">
        <v>1604</v>
      </c>
      <c r="X141" s="756"/>
      <c r="Y141" s="756"/>
      <c r="Z141" s="756"/>
      <c r="AE141" s="756" t="s">
        <v>1605</v>
      </c>
      <c r="AF141" s="756"/>
      <c r="AG141" s="756"/>
      <c r="AH141" s="756"/>
      <c r="AR141" s="766"/>
    </row>
    <row r="142" spans="19:80" ht="14.85" customHeight="1">
      <c r="AE142" s="768"/>
      <c r="AF142" s="769"/>
      <c r="AG142" s="769"/>
      <c r="AH142" s="769"/>
      <c r="AI142" s="769"/>
      <c r="AJ142" s="769"/>
      <c r="AK142" s="769"/>
      <c r="AL142" s="769"/>
      <c r="AM142" s="769"/>
      <c r="AN142" s="770"/>
      <c r="AR142" s="766"/>
    </row>
    <row r="143" spans="19:80" ht="14.85" customHeight="1">
      <c r="AE143" s="771"/>
      <c r="AF143" s="772"/>
      <c r="AG143" s="772"/>
      <c r="AH143" s="772"/>
      <c r="AI143" s="772"/>
      <c r="AJ143" s="772"/>
      <c r="AK143" s="772"/>
      <c r="AL143" s="772"/>
      <c r="AM143" s="772"/>
      <c r="AN143" s="773"/>
      <c r="AR143" s="766"/>
    </row>
    <row r="144" spans="19:80" ht="14.85" customHeight="1">
      <c r="AE144" s="771"/>
      <c r="AF144" s="772"/>
      <c r="AG144" s="772"/>
      <c r="AH144" s="772"/>
      <c r="AI144" s="772"/>
      <c r="AJ144" s="772"/>
      <c r="AK144" s="772"/>
      <c r="AL144" s="772"/>
      <c r="AM144" s="772"/>
      <c r="AN144" s="773"/>
      <c r="AR144" s="766"/>
    </row>
    <row r="145" spans="1:80" ht="14.85" customHeight="1">
      <c r="D145" s="780">
        <f>IF(OR(Ram_4!$AC$25="x",Ram_4!$AJ$26="x",Ram_4!$AC$9="x",Ram_4!$AJ$7="x",Ram_4!$AB$16="x",Ram_4!$AM$23="x",Ram_4!$AN$19="x",Ram_4!$AD$10="x"),'Translate&amp;Prices&amp;Logo'!$B$588,0)</f>
        <v>0</v>
      </c>
      <c r="E145" s="780"/>
      <c r="F145" s="780"/>
      <c r="G145" s="780"/>
      <c r="H145" s="780"/>
      <c r="I145" s="780"/>
      <c r="J145" s="780"/>
      <c r="K145" s="780"/>
      <c r="L145" s="780"/>
      <c r="M145" s="780"/>
      <c r="N145" s="780"/>
      <c r="O145" s="780"/>
      <c r="P145" s="780"/>
      <c r="AE145" s="771"/>
      <c r="AF145" s="772"/>
      <c r="AG145" s="772"/>
      <c r="AH145" s="772"/>
      <c r="AI145" s="772"/>
      <c r="AJ145" s="772"/>
      <c r="AK145" s="772"/>
      <c r="AL145" s="772"/>
      <c r="AM145" s="772"/>
      <c r="AN145" s="773"/>
      <c r="AR145" s="766"/>
    </row>
    <row r="146" spans="1:80" ht="14.85" customHeight="1">
      <c r="AE146" s="771"/>
      <c r="AF146" s="772"/>
      <c r="AG146" s="772"/>
      <c r="AH146" s="772"/>
      <c r="AI146" s="772"/>
      <c r="AJ146" s="772"/>
      <c r="AK146" s="772"/>
      <c r="AL146" s="772"/>
      <c r="AM146" s="772"/>
      <c r="AN146" s="773"/>
      <c r="AR146" s="766"/>
    </row>
    <row r="147" spans="1:80" ht="14.85" customHeight="1" thickBot="1">
      <c r="AE147" s="771"/>
      <c r="AF147" s="772"/>
      <c r="AG147" s="772"/>
      <c r="AH147" s="772"/>
      <c r="AI147" s="772"/>
      <c r="AJ147" s="772"/>
      <c r="AK147" s="772"/>
      <c r="AL147" s="772"/>
      <c r="AM147" s="772"/>
      <c r="AN147" s="773"/>
      <c r="AR147" s="766"/>
    </row>
    <row r="148" spans="1:80" ht="14.85" customHeight="1" thickBot="1">
      <c r="G148" s="757" t="str">
        <f>'Translate&amp;Prices&amp;Logo'!$O$175</f>
        <v>Szerokość</v>
      </c>
      <c r="H148" s="758">
        <f>Ram_1!AG138</f>
        <v>0</v>
      </c>
      <c r="I148" s="758">
        <f>Ram_1!AH138</f>
        <v>0</v>
      </c>
      <c r="J148" s="759">
        <f>Ram_4!AI30</f>
        <v>0</v>
      </c>
      <c r="K148" s="759">
        <f>Ram_1!AJ138</f>
        <v>0</v>
      </c>
      <c r="L148" s="760">
        <f>Ram_1!AK138</f>
        <v>0</v>
      </c>
      <c r="AE148" s="771"/>
      <c r="AF148" s="772"/>
      <c r="AG148" s="772"/>
      <c r="AH148" s="772"/>
      <c r="AI148" s="772"/>
      <c r="AJ148" s="772"/>
      <c r="AK148" s="772"/>
      <c r="AL148" s="772"/>
      <c r="AM148" s="772"/>
      <c r="AN148" s="773"/>
      <c r="AR148" s="766"/>
    </row>
    <row r="149" spans="1:80" ht="21" customHeight="1">
      <c r="AE149" s="774"/>
      <c r="AF149" s="775"/>
      <c r="AG149" s="775"/>
      <c r="AH149" s="775"/>
      <c r="AI149" s="775"/>
      <c r="AJ149" s="775"/>
      <c r="AK149" s="775"/>
      <c r="AL149" s="775"/>
      <c r="AM149" s="775"/>
      <c r="AN149" s="776"/>
      <c r="AR149" s="766"/>
    </row>
    <row r="150" spans="1:80" ht="14.85" customHeight="1">
      <c r="AR150" s="766"/>
    </row>
    <row r="151" spans="1:80" ht="14.85" customHeight="1">
      <c r="AR151" s="766"/>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55" t="str">
        <f>'Translate&amp;Prices&amp;Logo'!$O$256</f>
        <v>Numer zamówienia</v>
      </c>
      <c r="X153" s="755"/>
      <c r="Y153" s="755"/>
      <c r="Z153" s="755"/>
      <c r="AA153" s="755"/>
      <c r="AB153" s="246"/>
      <c r="AC153" s="752">
        <f>Ram_5!AS5</f>
        <v>0</v>
      </c>
      <c r="AD153" s="753"/>
      <c r="AE153" s="753"/>
      <c r="AF153" s="753"/>
      <c r="AG153" s="753"/>
      <c r="AH153" s="753"/>
      <c r="AI153" s="753"/>
      <c r="AJ153" s="753"/>
      <c r="AK153" s="753"/>
      <c r="AL153" s="753"/>
      <c r="AM153" s="753"/>
      <c r="AN153" s="753"/>
      <c r="AO153" s="754"/>
      <c r="AR153" s="766" t="s">
        <v>1610</v>
      </c>
    </row>
    <row r="154" spans="1:80" ht="16.350000000000001" customHeight="1">
      <c r="W154" s="751" t="str">
        <f>'Translate&amp;Prices&amp;Logo'!$O$542</f>
        <v>Połączenie 2 profili</v>
      </c>
      <c r="X154" s="751"/>
      <c r="Y154" s="751"/>
      <c r="Z154" s="751"/>
      <c r="AA154" s="751"/>
      <c r="AB154" s="246"/>
      <c r="AC154" s="765" t="str">
        <f>IF(kombinace_5!$H$1=TRUE,"Tak","Nie")</f>
        <v>Nie</v>
      </c>
      <c r="AD154" s="765"/>
      <c r="AE154" s="765"/>
      <c r="AF154" s="765"/>
      <c r="AG154" s="765"/>
      <c r="AH154" s="765"/>
      <c r="AI154" s="765"/>
      <c r="AJ154" s="765"/>
      <c r="AK154" s="765"/>
      <c r="AL154" s="765"/>
      <c r="AM154" s="765"/>
      <c r="AN154" s="765"/>
      <c r="AO154" s="765"/>
      <c r="AR154" s="766"/>
    </row>
    <row r="155" spans="1:80" ht="16.350000000000001" customHeight="1">
      <c r="W155" s="751" t="str">
        <f>'Translate&amp;Prices&amp;Logo'!$O$172</f>
        <v>Rodzaj profilu</v>
      </c>
      <c r="X155" s="751"/>
      <c r="Y155" s="751"/>
      <c r="Z155" s="751"/>
      <c r="AA155" s="751"/>
      <c r="AB155" s="246"/>
      <c r="AC155" s="750">
        <f>IFERROR(VLOOKUP(Ram_5!$H$8,'Translate&amp;Prices&amp;Logo'!AA1:AB312,2,0),Ram_5!$H$8)</f>
        <v>0</v>
      </c>
      <c r="AD155" s="750"/>
      <c r="AE155" s="750"/>
      <c r="AF155" s="750"/>
      <c r="AG155" s="750"/>
      <c r="AH155" s="750"/>
      <c r="AI155" s="750"/>
      <c r="AJ155" s="750"/>
      <c r="AK155" s="750"/>
      <c r="AL155" s="750"/>
      <c r="AM155" s="750"/>
      <c r="AN155" s="750"/>
      <c r="AO155" s="750"/>
      <c r="AR155" s="766"/>
    </row>
    <row r="156" spans="1:80" ht="16.350000000000001" customHeight="1">
      <c r="W156" s="751" t="str">
        <f>'Translate&amp;Prices&amp;Logo'!$O$543</f>
        <v>Szprosy</v>
      </c>
      <c r="X156" s="751"/>
      <c r="Y156" s="751"/>
      <c r="Z156" s="751"/>
      <c r="AA156" s="751"/>
      <c r="AB156" s="246"/>
      <c r="AC156" s="750" t="str">
        <f>IFERROR(VLOOKUP(Ram_5!$AU$10,AU156:AV159,2,0),0)</f>
        <v>Nie</v>
      </c>
      <c r="AD156" s="750"/>
      <c r="AE156" s="750"/>
      <c r="AF156" s="750"/>
      <c r="AG156" s="750"/>
      <c r="AH156" s="750"/>
      <c r="AI156" s="750"/>
      <c r="AJ156" s="750"/>
      <c r="AK156" s="750"/>
      <c r="AL156" s="750"/>
      <c r="AM156" s="750"/>
      <c r="AN156" s="750"/>
      <c r="AO156" s="750"/>
      <c r="AR156" s="766"/>
      <c r="AU156">
        <v>0</v>
      </c>
      <c r="AV156" t="str">
        <f>'Translate&amp;Prices&amp;Logo'!$O$557</f>
        <v>Nie</v>
      </c>
      <c r="AZ156">
        <v>2</v>
      </c>
      <c r="BA156" t="str">
        <f>'Translate&amp;Prices&amp;Logo'!$O$551</f>
        <v>Zawiasy</v>
      </c>
      <c r="BX156" s="1">
        <v>1</v>
      </c>
      <c r="BY156" s="1" t="str">
        <f>'Translate&amp;Prices&amp;Logo'!$O$100</f>
        <v>Bez modyfikacji</v>
      </c>
      <c r="CA156"/>
      <c r="CB156"/>
    </row>
    <row r="157" spans="1:80" ht="16.350000000000001" customHeight="1">
      <c r="W157" s="126"/>
      <c r="X157" s="126"/>
      <c r="Y157" s="126"/>
      <c r="Z157" s="126"/>
      <c r="AA157" s="126"/>
      <c r="AB157" s="246"/>
      <c r="AC157" s="767" t="str">
        <f>'Translate&amp;Prices&amp;Logo'!$O$558</f>
        <v>Poziomo (termin dostawy 4 tygodnie)</v>
      </c>
      <c r="AD157" s="767"/>
      <c r="AE157" s="767"/>
      <c r="AF157" s="767"/>
      <c r="AG157" s="767"/>
      <c r="AH157" s="767"/>
      <c r="AI157" s="767"/>
      <c r="AJ157" s="767" t="str">
        <f>'Translate&amp;Prices&amp;Logo'!$O$559</f>
        <v>Pionowo (termin dostawy 4 tygodnie)</v>
      </c>
      <c r="AK157" s="767"/>
      <c r="AL157" s="767"/>
      <c r="AM157" s="767"/>
      <c r="AN157" s="767"/>
      <c r="AO157" s="767"/>
      <c r="AR157" s="766"/>
      <c r="AU157">
        <v>1</v>
      </c>
      <c r="AV157" t="str">
        <f>'Translate&amp;Prices&amp;Logo'!$O$558</f>
        <v>Poziomo (termin dostawy 4 tygodnie)</v>
      </c>
      <c r="AZ157">
        <v>3</v>
      </c>
      <c r="BA157" t="str">
        <f>'Translate&amp;Prices&amp;Logo'!$O$552</f>
        <v>Podnośniki</v>
      </c>
      <c r="BX157" s="1">
        <v>2</v>
      </c>
      <c r="BY157" s="1" t="str">
        <f>'Translate&amp;Prices&amp;Logo'!$O$101</f>
        <v>Hartowane</v>
      </c>
      <c r="CA157"/>
      <c r="CB157"/>
    </row>
    <row r="158" spans="1:80" ht="16.350000000000001" customHeight="1">
      <c r="W158" s="751" t="str">
        <f>('Translate&amp;Prices&amp;Logo'!$O$543)&amp;" "&amp;"("&amp;'Translate&amp;Prices&amp;Logo'!$O$174&amp;")"</f>
        <v>Szprosy (Ilość sztuk)</v>
      </c>
      <c r="X158" s="751"/>
      <c r="Y158" s="751"/>
      <c r="Z158" s="751"/>
      <c r="AA158" s="751"/>
      <c r="AB158" s="56"/>
      <c r="AC158" s="750">
        <f>Ram_5!$H$11</f>
        <v>0</v>
      </c>
      <c r="AD158" s="750"/>
      <c r="AE158" s="750"/>
      <c r="AF158" s="750"/>
      <c r="AG158" s="750"/>
      <c r="AH158" s="750"/>
      <c r="AI158" s="750"/>
      <c r="AJ158" s="750">
        <f>Ram_5!$M$11</f>
        <v>0</v>
      </c>
      <c r="AK158" s="750"/>
      <c r="AL158" s="750"/>
      <c r="AM158" s="750"/>
      <c r="AN158" s="750"/>
      <c r="AO158" s="750"/>
      <c r="AR158" s="766"/>
      <c r="AU158">
        <v>2</v>
      </c>
      <c r="AV158" t="str">
        <f>'Translate&amp;Prices&amp;Logo'!$O$559</f>
        <v>Pionowo (termin dostawy 4 tygodnie)</v>
      </c>
      <c r="BX158" s="1">
        <v>3</v>
      </c>
      <c r="BY158" s="1" t="str">
        <f>'Translate&amp;Prices&amp;Logo'!$O$102</f>
        <v>Folia</v>
      </c>
      <c r="CA158"/>
      <c r="CB158"/>
    </row>
    <row r="159" spans="1:80" ht="16.350000000000001" customHeight="1">
      <c r="W159" s="751" t="str">
        <f>'Translate&amp;Prices&amp;Logo'!$O$258</f>
        <v>Typ okucia</v>
      </c>
      <c r="X159" s="751"/>
      <c r="Y159" s="751"/>
      <c r="Z159" s="751"/>
      <c r="AA159" s="751"/>
      <c r="AB159" s="246"/>
      <c r="AC159" s="750">
        <f>IFERROR(VLOOKUP(Ram_5!$AU$9,AZ156:BA157,2,0),0)</f>
        <v>0</v>
      </c>
      <c r="AD159" s="750"/>
      <c r="AE159" s="750"/>
      <c r="AF159" s="750"/>
      <c r="AG159" s="750"/>
      <c r="AH159" s="750"/>
      <c r="AI159" s="750"/>
      <c r="AJ159" s="750"/>
      <c r="AK159" s="750"/>
      <c r="AL159" s="750"/>
      <c r="AM159" s="750"/>
      <c r="AN159" s="750"/>
      <c r="AO159" s="750"/>
      <c r="AR159" s="766"/>
      <c r="AU159">
        <v>3</v>
      </c>
      <c r="AV159" t="str">
        <f>'Translate&amp;Prices&amp;Logo'!$O$560</f>
        <v>Poziomo i pionowo (termin dostawy 4 tygodnie)</v>
      </c>
      <c r="CA159"/>
      <c r="CB159"/>
    </row>
    <row r="160" spans="1:80" ht="16.350000000000001" customHeight="1">
      <c r="W160" s="751" t="str">
        <f>'Translate&amp;Prices&amp;Logo'!$O$544</f>
        <v>Marka okucia</v>
      </c>
      <c r="X160" s="751"/>
      <c r="Y160" s="751"/>
      <c r="Z160" s="751"/>
      <c r="AA160" s="751"/>
      <c r="AB160" s="246"/>
      <c r="AC160" s="750">
        <f>Ram_5!$H$13</f>
        <v>0</v>
      </c>
      <c r="AD160" s="750"/>
      <c r="AE160" s="750"/>
      <c r="AF160" s="750"/>
      <c r="AG160" s="750"/>
      <c r="AH160" s="750"/>
      <c r="AI160" s="750"/>
      <c r="AJ160" s="750"/>
      <c r="AK160" s="750"/>
      <c r="AL160" s="750"/>
      <c r="AM160" s="750"/>
      <c r="AN160" s="750"/>
      <c r="AO160" s="750"/>
      <c r="AR160" s="766"/>
      <c r="CA160"/>
      <c r="CB160"/>
    </row>
    <row r="161" spans="19:80" ht="16.350000000000001" customHeight="1" thickBot="1">
      <c r="W161" s="751" t="str">
        <f>'Translate&amp;Prices&amp;Logo'!$O$546</f>
        <v>Nałożenie</v>
      </c>
      <c r="X161" s="751"/>
      <c r="Y161" s="751"/>
      <c r="Z161" s="751"/>
      <c r="AA161" s="751"/>
      <c r="AB161" s="246"/>
      <c r="AC161" s="750">
        <f>IFERROR(VLOOKUP(Ram_5!$H$14,$BD$12:$BE$29,2,0),0)</f>
        <v>0</v>
      </c>
      <c r="AD161" s="750"/>
      <c r="AE161" s="750"/>
      <c r="AF161" s="750"/>
      <c r="AG161" s="750"/>
      <c r="AH161" s="750"/>
      <c r="AI161" s="750"/>
      <c r="AJ161" s="750"/>
      <c r="AK161" s="750"/>
      <c r="AL161" s="750"/>
      <c r="AM161" s="750"/>
      <c r="AN161" s="750"/>
      <c r="AO161" s="750"/>
      <c r="AR161" s="766"/>
      <c r="CA161"/>
      <c r="CB161"/>
    </row>
    <row r="162" spans="19:80" ht="16.350000000000001" customHeight="1">
      <c r="S162" s="761">
        <f>Ram_5!AR14</f>
        <v>0</v>
      </c>
      <c r="W162" s="751" t="str">
        <f>'Translate&amp;Prices&amp;Logo'!$O$545</f>
        <v>Wariant okucia</v>
      </c>
      <c r="X162" s="751"/>
      <c r="Y162" s="751"/>
      <c r="Z162" s="751"/>
      <c r="AA162" s="751"/>
      <c r="AB162" s="246"/>
      <c r="AC162" s="777">
        <f>IFERROR(VLOOKUP(Ram_5!$H$15,kombinace_1!$ED$2:$EE$758,2,0),Ram_5!$H$15)</f>
        <v>0</v>
      </c>
      <c r="AD162" s="777"/>
      <c r="AE162" s="777"/>
      <c r="AF162" s="777"/>
      <c r="AG162" s="777"/>
      <c r="AH162" s="777"/>
      <c r="AI162" s="777"/>
      <c r="AJ162" s="777" t="str">
        <f>IF(AC162='Translate&amp;Prices&amp;Logo'!C698,VLOOKUP(Ram_5!H17,'Translate&amp;Prices&amp;Logo'!C699:D746,2,0),"")</f>
        <v/>
      </c>
      <c r="AK162" s="777"/>
      <c r="AL162" s="777"/>
      <c r="AM162" s="777"/>
      <c r="AN162" s="777"/>
      <c r="AO162" s="777"/>
      <c r="AR162" s="766"/>
      <c r="CA162"/>
      <c r="CB162"/>
    </row>
    <row r="163" spans="19:80" ht="16.350000000000001" customHeight="1">
      <c r="S163" s="762">
        <f>Ram_1!AR159</f>
        <v>0</v>
      </c>
      <c r="W163" s="751" t="str">
        <f>'Translate&amp;Prices&amp;Logo'!$O$218</f>
        <v>Wybierz pozycję ramki</v>
      </c>
      <c r="X163" s="751"/>
      <c r="Y163" s="751"/>
      <c r="Z163" s="751"/>
      <c r="AA163" s="751"/>
      <c r="AB163" s="750">
        <f>IFERROR(VLOOKUP(Ram_5!$F$16,BI12:BJ23,2,0),0)</f>
        <v>0</v>
      </c>
      <c r="AC163" s="750"/>
      <c r="AD163" s="750"/>
      <c r="AE163" s="750"/>
      <c r="AF163" s="750"/>
      <c r="AG163" s="778" t="str">
        <f>'Translate&amp;Prices&amp;Logo'!$O$232</f>
        <v>Rodzaj drugiej ramki</v>
      </c>
      <c r="AH163" s="778"/>
      <c r="AI163" s="778"/>
      <c r="AJ163" s="750">
        <f>IFERROR(VLOOKUP(Ram_5!$N$16,BM12:BN41,2,0),0)</f>
        <v>0</v>
      </c>
      <c r="AK163" s="750"/>
      <c r="AL163" s="750"/>
      <c r="AM163" s="750"/>
      <c r="AN163" s="750"/>
      <c r="AO163" s="750"/>
      <c r="AR163" s="766"/>
      <c r="CA163"/>
      <c r="CB163"/>
    </row>
    <row r="164" spans="19:80" ht="16.350000000000001" customHeight="1">
      <c r="S164" s="762">
        <f>Ram_1!AR160</f>
        <v>0</v>
      </c>
      <c r="W164" s="751" t="str">
        <f>IF(AC159='Translate&amp;Prices&amp;Logo'!O551,'Translate&amp;Prices&amp;Logo'!O238,'Translate&amp;Prices&amp;Logo'!$O$226)</f>
        <v>Umieszczenie</v>
      </c>
      <c r="X164" s="751"/>
      <c r="Y164" s="751"/>
      <c r="Z164" s="751"/>
      <c r="AA164" s="751"/>
      <c r="AB164" s="246"/>
      <c r="AC164" s="750" t="str">
        <f>IFERROR((IF(Ram_5!H12='Translate&amp;Prices&amp;Logo'!B552,VLOOKUP(Ram_5!$N$16,BM42:BN71,2,0),VLOOKUP(Ram_5!$H$17,BM42:BN65,2,0))),"")</f>
        <v/>
      </c>
      <c r="AD164" s="750"/>
      <c r="AE164" s="750"/>
      <c r="AF164" s="750"/>
      <c r="AG164" s="750"/>
      <c r="AH164" s="750"/>
      <c r="AI164" s="750"/>
      <c r="AJ164" s="750"/>
      <c r="AK164" s="750"/>
      <c r="AL164" s="750"/>
      <c r="AM164" s="750"/>
      <c r="AN164" s="750"/>
      <c r="AO164" s="750"/>
      <c r="AR164" s="766"/>
      <c r="CA164"/>
      <c r="CB164"/>
    </row>
    <row r="165" spans="19:80" ht="16.350000000000001" customHeight="1">
      <c r="S165" s="762">
        <f>Ram_1!AR161</f>
        <v>0</v>
      </c>
      <c r="W165" s="751" t="str">
        <f>'Translate&amp;Prices&amp;Logo'!$O$547</f>
        <v>Zawiasy do podnośników</v>
      </c>
      <c r="X165" s="751"/>
      <c r="Y165" s="751"/>
      <c r="Z165" s="751"/>
      <c r="AA165" s="751"/>
      <c r="AB165" s="246"/>
      <c r="AC165" s="750">
        <f>IFERROR((VLOOKUP(Ram_5!$H$18,$CK$2:$CL$90,2,0)),Ram_5!$H$18)</f>
        <v>0</v>
      </c>
      <c r="AD165" s="750"/>
      <c r="AE165" s="750"/>
      <c r="AF165" s="750"/>
      <c r="AG165" s="750"/>
      <c r="AH165" s="750"/>
      <c r="AI165" s="750"/>
      <c r="AJ165" s="750"/>
      <c r="AK165" s="750"/>
      <c r="AL165" s="750"/>
      <c r="AM165" s="750"/>
      <c r="AN165" s="750"/>
      <c r="AO165" s="750"/>
      <c r="AR165" s="766"/>
      <c r="CA165"/>
      <c r="CB165"/>
    </row>
    <row r="166" spans="19:80" ht="16.350000000000001" customHeight="1">
      <c r="S166" s="762">
        <f>Ram_1!AR162</f>
        <v>0</v>
      </c>
      <c r="W166" s="751" t="str">
        <f>'Translate&amp;Prices&amp;Logo'!$O$223</f>
        <v>Ilość zawiasów na 1 ramkę</v>
      </c>
      <c r="X166" s="751"/>
      <c r="Y166" s="751"/>
      <c r="Z166" s="751"/>
      <c r="AA166" s="751"/>
      <c r="AB166" s="56"/>
      <c r="AC166" s="750">
        <f>Ram_5!$H$19</f>
        <v>0</v>
      </c>
      <c r="AD166" s="750"/>
      <c r="AE166" s="750"/>
      <c r="AF166" s="750"/>
      <c r="AG166" s="750"/>
      <c r="AH166" s="750"/>
      <c r="AI166" s="750"/>
      <c r="AJ166" s="750"/>
      <c r="AK166" s="750"/>
      <c r="AL166" s="750"/>
      <c r="AM166" s="750"/>
      <c r="AN166" s="750"/>
      <c r="AO166" s="750"/>
      <c r="AR166" s="766"/>
      <c r="CA166"/>
      <c r="CB166"/>
    </row>
    <row r="167" spans="19:80" ht="16.350000000000001" customHeight="1">
      <c r="S167" s="763" t="str">
        <f>'Translate&amp;Prices&amp;Logo'!$O$176</f>
        <v>Wysokość</v>
      </c>
      <c r="W167" s="751" t="e">
        <f>'Translate&amp;Prices&amp;Logo'!$O$242&amp;" "&amp;VLOOKUP(Ram_5!H17,kombinace_1!$BY$32:$CC$35,5,0)</f>
        <v>#N/A</v>
      </c>
      <c r="X167" s="751"/>
      <c r="Y167" s="751"/>
      <c r="Z167" s="751"/>
      <c r="AA167" s="751"/>
      <c r="AB167" s="750">
        <f>Ram_5!$F$20</f>
        <v>100</v>
      </c>
      <c r="AC167" s="750"/>
      <c r="AD167" s="750"/>
      <c r="AE167" s="750"/>
      <c r="AF167" s="750"/>
      <c r="AG167" s="751" t="e">
        <f>'Translate&amp;Prices&amp;Logo'!$O$242&amp;" "&amp;VLOOKUP(Ram_4!H17,kombinace_1!$BY$32:$CD$35,6,0)</f>
        <v>#N/A</v>
      </c>
      <c r="AH167" s="751"/>
      <c r="AI167" s="751"/>
      <c r="AJ167" s="751"/>
      <c r="AK167" s="751"/>
      <c r="AL167" s="750">
        <f>Ram_5!$N$20</f>
        <v>100</v>
      </c>
      <c r="AM167" s="750"/>
      <c r="AN167" s="750"/>
      <c r="AO167" s="750"/>
      <c r="AR167" s="766"/>
      <c r="CA167"/>
      <c r="CB167"/>
    </row>
    <row r="168" spans="19:80" ht="16.350000000000001" customHeight="1">
      <c r="S168" s="763">
        <f>Ram_1!AR164</f>
        <v>0</v>
      </c>
      <c r="W168" s="250" t="str">
        <f>'Translate&amp;Prices&amp;Logo'!$O$653</f>
        <v>Wypełnienie z siatki</v>
      </c>
      <c r="X168" s="126"/>
      <c r="Y168" s="126"/>
      <c r="Z168" s="126"/>
      <c r="AA168" s="126"/>
      <c r="AB168" s="246"/>
      <c r="AC168" s="749" t="str">
        <f>IF(kombinace_5!FC2=TRUE,"Tak","Nie")</f>
        <v>Nie</v>
      </c>
      <c r="AD168" s="749"/>
      <c r="AE168" s="749"/>
      <c r="AF168" s="749"/>
      <c r="AG168" s="749"/>
      <c r="AH168" s="749"/>
      <c r="AI168" s="749"/>
      <c r="AJ168" s="749"/>
      <c r="AK168" s="749"/>
      <c r="AL168" s="749"/>
      <c r="AM168" s="749"/>
      <c r="AN168" s="749"/>
      <c r="AO168" s="749"/>
      <c r="AR168" s="766"/>
      <c r="CA168"/>
      <c r="CB168"/>
    </row>
    <row r="169" spans="19:80" ht="16.350000000000001" customHeight="1">
      <c r="S169" s="763">
        <f>Ram_1!AR165</f>
        <v>0</v>
      </c>
      <c r="W169" s="751" t="str">
        <f>'Translate&amp;Prices&amp;Logo'!$O$173</f>
        <v>Rodzaj szkła</v>
      </c>
      <c r="X169" s="751"/>
      <c r="Y169" s="751"/>
      <c r="Z169" s="751"/>
      <c r="AA169" s="751"/>
      <c r="AB169" s="246"/>
      <c r="AC169" s="750" t="str">
        <f>IFERROR(VLOOKUP(kombinace_5!$V$1,BX156:BY158,2,0),0)</f>
        <v>Bez modyfikacji</v>
      </c>
      <c r="AD169" s="750"/>
      <c r="AE169" s="750"/>
      <c r="AF169" s="750"/>
      <c r="AG169" s="750"/>
      <c r="AH169" s="750"/>
      <c r="AI169" s="750"/>
      <c r="AJ169" s="750"/>
      <c r="AK169" s="750"/>
      <c r="AL169" s="750"/>
      <c r="AM169" s="750"/>
      <c r="AN169" s="750"/>
      <c r="AO169" s="750"/>
      <c r="AR169" s="766"/>
      <c r="CA169"/>
      <c r="CB169"/>
    </row>
    <row r="170" spans="19:80" ht="16.350000000000001" customHeight="1">
      <c r="S170" s="763">
        <f>Ram_1!AR166</f>
        <v>0</v>
      </c>
      <c r="W170" s="751" t="str">
        <f>'Translate&amp;Prices&amp;Logo'!$O$562</f>
        <v>Rodzaj folii</v>
      </c>
      <c r="X170" s="751"/>
      <c r="Y170" s="751"/>
      <c r="Z170" s="751"/>
      <c r="AA170" s="751"/>
      <c r="AB170" s="246"/>
      <c r="AC170" s="750">
        <f>IFERROR(VLOOKUP(Ram_5!$H$24,CA12:CB29,2,0),0)</f>
        <v>0</v>
      </c>
      <c r="AD170" s="750"/>
      <c r="AE170" s="750"/>
      <c r="AF170" s="750"/>
      <c r="AG170" s="750"/>
      <c r="AH170" s="750"/>
      <c r="AI170" s="750"/>
      <c r="AJ170" s="750"/>
      <c r="AK170" s="750"/>
      <c r="AL170" s="750"/>
      <c r="AM170" s="750"/>
      <c r="AN170" s="750"/>
      <c r="AO170" s="750"/>
      <c r="AR170" s="766"/>
      <c r="CA170"/>
      <c r="CB170"/>
    </row>
    <row r="171" spans="19:80" ht="16.350000000000001" customHeight="1" thickBot="1">
      <c r="S171" s="764">
        <f>Ram_1!AR167</f>
        <v>0</v>
      </c>
      <c r="W171" s="751" t="str">
        <f>'Translate&amp;Prices&amp;Logo'!$O$173</f>
        <v>Rodzaj szkła</v>
      </c>
      <c r="X171" s="751"/>
      <c r="Y171" s="751"/>
      <c r="Z171" s="751"/>
      <c r="AA171" s="751"/>
      <c r="AB171" s="246"/>
      <c r="AC171" s="750">
        <f>IFERROR(VLOOKUP(Ram_5!$H$25,'Translate&amp;Prices&amp;Logo'!$AH$1:$AI$165,2,0),Ram_5!$H$25)</f>
        <v>0</v>
      </c>
      <c r="AD171" s="750"/>
      <c r="AE171" s="750"/>
      <c r="AF171" s="750"/>
      <c r="AG171" s="750"/>
      <c r="AH171" s="750"/>
      <c r="AI171" s="750"/>
      <c r="AJ171" s="750"/>
      <c r="AK171" s="750"/>
      <c r="AL171" s="750"/>
      <c r="AM171" s="750"/>
      <c r="AN171" s="750"/>
      <c r="AO171" s="750"/>
      <c r="AR171" s="766"/>
    </row>
    <row r="172" spans="19:80" ht="16.350000000000001" customHeight="1">
      <c r="W172" s="751" t="str">
        <f>'Translate&amp;Prices&amp;Logo'!$O$549</f>
        <v>Rozstaw uchwytu (mm)</v>
      </c>
      <c r="X172" s="751"/>
      <c r="Y172" s="751"/>
      <c r="Z172" s="751"/>
      <c r="AA172" s="751"/>
      <c r="AB172" s="246"/>
      <c r="AC172" s="750">
        <f>Ram_5!$H$26</f>
        <v>0</v>
      </c>
      <c r="AD172" s="750"/>
      <c r="AE172" s="750"/>
      <c r="AF172" s="750"/>
      <c r="AG172" s="750"/>
      <c r="AH172" s="750"/>
      <c r="AI172" s="750"/>
      <c r="AJ172" s="750"/>
      <c r="AK172" s="750"/>
      <c r="AL172" s="750"/>
      <c r="AM172" s="750"/>
      <c r="AN172" s="750"/>
      <c r="AO172" s="750"/>
      <c r="AR172" s="766"/>
    </row>
    <row r="173" spans="19:80" ht="16.350000000000001" customHeight="1">
      <c r="W173" s="751" t="str">
        <f>'Translate&amp;Prices&amp;Logo'!$O$550</f>
        <v>Umieszczenie uchwytu</v>
      </c>
      <c r="X173" s="751"/>
      <c r="Y173" s="751"/>
      <c r="Z173" s="751"/>
      <c r="AA173" s="751"/>
      <c r="AB173" s="246"/>
      <c r="AC173" s="750">
        <f>IFERROR(VLOOKUP(Ram_5!$H$27,BM42:BN65,2,0),0)</f>
        <v>0</v>
      </c>
      <c r="AD173" s="750"/>
      <c r="AE173" s="750"/>
      <c r="AF173" s="750"/>
      <c r="AG173" s="750"/>
      <c r="AH173" s="750"/>
      <c r="AI173" s="750"/>
      <c r="AJ173" s="750"/>
      <c r="AK173" s="750"/>
      <c r="AL173" s="750"/>
      <c r="AM173" s="750"/>
      <c r="AN173" s="750"/>
      <c r="AO173" s="750"/>
      <c r="AR173" s="766"/>
    </row>
    <row r="174" spans="19:80" ht="16.350000000000001" customHeight="1">
      <c r="W174" s="751" t="str">
        <f>('Translate&amp;Prices&amp;Logo'!$O$174)&amp;" "&amp;"-"&amp;" "&amp;('Translate&amp;Prices&amp;Logo'!$O$169)&amp;" "&amp;" "&amp;5</f>
        <v>Ilość sztuk - Ramka  5</v>
      </c>
      <c r="X174" s="751"/>
      <c r="Y174" s="751"/>
      <c r="Z174" s="751"/>
      <c r="AA174" s="751"/>
      <c r="AB174" s="246"/>
      <c r="AC174" s="750">
        <f>Ram_5!$H$28</f>
        <v>0</v>
      </c>
      <c r="AD174" s="750"/>
      <c r="AE174" s="750"/>
      <c r="AF174" s="750"/>
      <c r="AG174" s="750"/>
      <c r="AH174" s="750"/>
      <c r="AI174" s="750"/>
      <c r="AJ174" s="750"/>
      <c r="AK174" s="750"/>
      <c r="AL174" s="750"/>
      <c r="AM174" s="750"/>
      <c r="AN174" s="750"/>
      <c r="AO174" s="750"/>
      <c r="AR174" s="766"/>
    </row>
    <row r="175" spans="19:80" ht="16.350000000000001" customHeight="1">
      <c r="AE175" s="1"/>
      <c r="AF175" s="1"/>
      <c r="AR175" s="766"/>
    </row>
    <row r="176" spans="19:80" ht="14.85" customHeight="1">
      <c r="AR176" s="766"/>
    </row>
    <row r="177" spans="1:80" ht="14.85" customHeight="1">
      <c r="W177" s="756" t="s">
        <v>1604</v>
      </c>
      <c r="X177" s="756"/>
      <c r="Y177" s="756"/>
      <c r="Z177" s="756"/>
      <c r="AE177" s="756" t="s">
        <v>1605</v>
      </c>
      <c r="AF177" s="756"/>
      <c r="AG177" s="756"/>
      <c r="AH177" s="756"/>
      <c r="AR177" s="766"/>
    </row>
    <row r="178" spans="1:80" ht="14.85" customHeight="1">
      <c r="AE178" s="768"/>
      <c r="AF178" s="769"/>
      <c r="AG178" s="769"/>
      <c r="AH178" s="769"/>
      <c r="AI178" s="769"/>
      <c r="AJ178" s="769"/>
      <c r="AK178" s="769"/>
      <c r="AL178" s="769"/>
      <c r="AM178" s="769"/>
      <c r="AN178" s="770"/>
      <c r="AR178" s="766"/>
    </row>
    <row r="179" spans="1:80" ht="14.85" customHeight="1">
      <c r="AE179" s="771"/>
      <c r="AF179" s="772"/>
      <c r="AG179" s="772"/>
      <c r="AH179" s="772"/>
      <c r="AI179" s="772"/>
      <c r="AJ179" s="772"/>
      <c r="AK179" s="772"/>
      <c r="AL179" s="772"/>
      <c r="AM179" s="772"/>
      <c r="AN179" s="773"/>
      <c r="AR179" s="766"/>
    </row>
    <row r="180" spans="1:80" ht="14.85" customHeight="1">
      <c r="AE180" s="771"/>
      <c r="AF180" s="772"/>
      <c r="AG180" s="772"/>
      <c r="AH180" s="772"/>
      <c r="AI180" s="772"/>
      <c r="AJ180" s="772"/>
      <c r="AK180" s="772"/>
      <c r="AL180" s="772"/>
      <c r="AM180" s="772"/>
      <c r="AN180" s="773"/>
      <c r="AR180" s="766"/>
    </row>
    <row r="181" spans="1:80" ht="14.85" customHeight="1">
      <c r="D181" s="780">
        <f>IF(OR(Ram_5!$AC$25="x",Ram_5!$AJ$26="x",Ram_5!$AC$9="x",Ram_5!$AJ$7="x",Ram_5!$AB$16="x",Ram_5!$AM$23="x",Ram_5!$AN$19="x",Ram_5!$AD$10="x"),'Translate&amp;Prices&amp;Logo'!$B$588,0)</f>
        <v>0</v>
      </c>
      <c r="E181" s="780"/>
      <c r="F181" s="780"/>
      <c r="G181" s="780"/>
      <c r="H181" s="780"/>
      <c r="I181" s="780"/>
      <c r="J181" s="780"/>
      <c r="K181" s="780"/>
      <c r="L181" s="780"/>
      <c r="M181" s="780"/>
      <c r="N181" s="780"/>
      <c r="O181" s="780"/>
      <c r="P181" s="780"/>
      <c r="AE181" s="771"/>
      <c r="AF181" s="772"/>
      <c r="AG181" s="772"/>
      <c r="AH181" s="772"/>
      <c r="AI181" s="772"/>
      <c r="AJ181" s="772"/>
      <c r="AK181" s="772"/>
      <c r="AL181" s="772"/>
      <c r="AM181" s="772"/>
      <c r="AN181" s="773"/>
      <c r="AR181" s="766"/>
    </row>
    <row r="182" spans="1:80" ht="14.85" customHeight="1">
      <c r="AE182" s="771"/>
      <c r="AF182" s="772"/>
      <c r="AG182" s="772"/>
      <c r="AH182" s="772"/>
      <c r="AI182" s="772"/>
      <c r="AJ182" s="772"/>
      <c r="AK182" s="772"/>
      <c r="AL182" s="772"/>
      <c r="AM182" s="772"/>
      <c r="AN182" s="773"/>
      <c r="AR182" s="766"/>
    </row>
    <row r="183" spans="1:80" ht="14.85" customHeight="1" thickBot="1">
      <c r="AE183" s="771"/>
      <c r="AF183" s="772"/>
      <c r="AG183" s="772"/>
      <c r="AH183" s="772"/>
      <c r="AI183" s="772"/>
      <c r="AJ183" s="772"/>
      <c r="AK183" s="772"/>
      <c r="AL183" s="772"/>
      <c r="AM183" s="772"/>
      <c r="AN183" s="773"/>
      <c r="AR183" s="766"/>
    </row>
    <row r="184" spans="1:80" ht="14.85" customHeight="1" thickBot="1">
      <c r="G184" s="757" t="str">
        <f>'Translate&amp;Prices&amp;Logo'!$O$175</f>
        <v>Szerokość</v>
      </c>
      <c r="H184" s="758">
        <f>Ram_1!AG174</f>
        <v>0</v>
      </c>
      <c r="I184" s="758">
        <f>Ram_1!AH174</f>
        <v>0</v>
      </c>
      <c r="J184" s="759">
        <f>Ram_5!AI30</f>
        <v>0</v>
      </c>
      <c r="K184" s="759">
        <f>Ram_1!AJ174</f>
        <v>0</v>
      </c>
      <c r="L184" s="760">
        <f>Ram_1!AK174</f>
        <v>0</v>
      </c>
      <c r="AE184" s="771"/>
      <c r="AF184" s="772"/>
      <c r="AG184" s="772"/>
      <c r="AH184" s="772"/>
      <c r="AI184" s="772"/>
      <c r="AJ184" s="772"/>
      <c r="AK184" s="772"/>
      <c r="AL184" s="772"/>
      <c r="AM184" s="772"/>
      <c r="AN184" s="773"/>
      <c r="AR184" s="766"/>
    </row>
    <row r="185" spans="1:80" ht="21" customHeight="1">
      <c r="AE185" s="774"/>
      <c r="AF185" s="775"/>
      <c r="AG185" s="775"/>
      <c r="AH185" s="775"/>
      <c r="AI185" s="775"/>
      <c r="AJ185" s="775"/>
      <c r="AK185" s="775"/>
      <c r="AL185" s="775"/>
      <c r="AM185" s="775"/>
      <c r="AN185" s="776"/>
      <c r="AR185" s="766"/>
    </row>
    <row r="186" spans="1:80" ht="14.85" customHeight="1">
      <c r="AR186" s="766"/>
    </row>
    <row r="187" spans="1:80" ht="14.85" customHeight="1">
      <c r="AR187" s="766"/>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55" t="str">
        <f>'Translate&amp;Prices&amp;Logo'!$O$256</f>
        <v>Numer zamówienia</v>
      </c>
      <c r="X189" s="755"/>
      <c r="Y189" s="755"/>
      <c r="Z189" s="755"/>
      <c r="AA189" s="755"/>
      <c r="AB189" s="246"/>
      <c r="AC189" s="752">
        <f>Ram_6!AS5</f>
        <v>0</v>
      </c>
      <c r="AD189" s="753"/>
      <c r="AE189" s="753"/>
      <c r="AF189" s="753"/>
      <c r="AG189" s="753"/>
      <c r="AH189" s="753"/>
      <c r="AI189" s="753"/>
      <c r="AJ189" s="753"/>
      <c r="AK189" s="753"/>
      <c r="AL189" s="753"/>
      <c r="AM189" s="753"/>
      <c r="AN189" s="753"/>
      <c r="AO189" s="754"/>
      <c r="AR189" s="766" t="s">
        <v>1611</v>
      </c>
    </row>
    <row r="190" spans="1:80" ht="16.350000000000001" customHeight="1">
      <c r="W190" s="751" t="str">
        <f>'Translate&amp;Prices&amp;Logo'!$O$542</f>
        <v>Połączenie 2 profili</v>
      </c>
      <c r="X190" s="751"/>
      <c r="Y190" s="751"/>
      <c r="Z190" s="751"/>
      <c r="AA190" s="751"/>
      <c r="AB190" s="246"/>
      <c r="AC190" s="765" t="str">
        <f>IF(kombinace_6!$H$1=TRUE,"Tak","Nie")</f>
        <v>Nie</v>
      </c>
      <c r="AD190" s="765"/>
      <c r="AE190" s="765"/>
      <c r="AF190" s="765"/>
      <c r="AG190" s="765"/>
      <c r="AH190" s="765"/>
      <c r="AI190" s="765"/>
      <c r="AJ190" s="765"/>
      <c r="AK190" s="765"/>
      <c r="AL190" s="765"/>
      <c r="AM190" s="765"/>
      <c r="AN190" s="765"/>
      <c r="AO190" s="765"/>
      <c r="AR190" s="766"/>
    </row>
    <row r="191" spans="1:80" ht="16.350000000000001" customHeight="1">
      <c r="W191" s="751" t="str">
        <f>'Translate&amp;Prices&amp;Logo'!$O$172</f>
        <v>Rodzaj profilu</v>
      </c>
      <c r="X191" s="751"/>
      <c r="Y191" s="751"/>
      <c r="Z191" s="751"/>
      <c r="AA191" s="751"/>
      <c r="AB191" s="246"/>
      <c r="AC191" s="750">
        <f>IFERROR(VLOOKUP(Ram_6!$H$8,'Translate&amp;Prices&amp;Logo'!AA1:AB312,2,0),Ram_6!$H$8)</f>
        <v>0</v>
      </c>
      <c r="AD191" s="750"/>
      <c r="AE191" s="750"/>
      <c r="AF191" s="750"/>
      <c r="AG191" s="750"/>
      <c r="AH191" s="750"/>
      <c r="AI191" s="750"/>
      <c r="AJ191" s="750"/>
      <c r="AK191" s="750"/>
      <c r="AL191" s="750"/>
      <c r="AM191" s="750"/>
      <c r="AN191" s="750"/>
      <c r="AO191" s="750"/>
      <c r="AR191" s="766"/>
    </row>
    <row r="192" spans="1:80" ht="16.350000000000001" customHeight="1">
      <c r="W192" s="751" t="str">
        <f>'Translate&amp;Prices&amp;Logo'!$O$543</f>
        <v>Szprosy</v>
      </c>
      <c r="X192" s="751"/>
      <c r="Y192" s="751"/>
      <c r="Z192" s="751"/>
      <c r="AA192" s="751"/>
      <c r="AB192" s="246"/>
      <c r="AC192" s="750" t="str">
        <f>IFERROR(VLOOKUP(Ram_6!$AU$10,AU192:AV195,2,0),0)</f>
        <v>Nie</v>
      </c>
      <c r="AD192" s="750"/>
      <c r="AE192" s="750"/>
      <c r="AF192" s="750"/>
      <c r="AG192" s="750"/>
      <c r="AH192" s="750"/>
      <c r="AI192" s="750"/>
      <c r="AJ192" s="750"/>
      <c r="AK192" s="750"/>
      <c r="AL192" s="750"/>
      <c r="AM192" s="750"/>
      <c r="AN192" s="750"/>
      <c r="AO192" s="750"/>
      <c r="AR192" s="766"/>
      <c r="AU192">
        <v>0</v>
      </c>
      <c r="AV192" t="str">
        <f>'Translate&amp;Prices&amp;Logo'!$O$557</f>
        <v>Nie</v>
      </c>
      <c r="AZ192">
        <v>2</v>
      </c>
      <c r="BA192" t="str">
        <f>'Translate&amp;Prices&amp;Logo'!$O$551</f>
        <v>Zawiasy</v>
      </c>
      <c r="BX192" s="1">
        <v>1</v>
      </c>
      <c r="BY192" s="1" t="str">
        <f>'Translate&amp;Prices&amp;Logo'!$O$100</f>
        <v>Bez modyfikacji</v>
      </c>
      <c r="CA192"/>
      <c r="CB192"/>
    </row>
    <row r="193" spans="19:80" ht="16.350000000000001" customHeight="1">
      <c r="W193" s="126"/>
      <c r="X193" s="126"/>
      <c r="Y193" s="126"/>
      <c r="Z193" s="126"/>
      <c r="AA193" s="126"/>
      <c r="AB193" s="246"/>
      <c r="AC193" s="767" t="str">
        <f>'Translate&amp;Prices&amp;Logo'!$O$558</f>
        <v>Poziomo (termin dostawy 4 tygodnie)</v>
      </c>
      <c r="AD193" s="767"/>
      <c r="AE193" s="767"/>
      <c r="AF193" s="767"/>
      <c r="AG193" s="767"/>
      <c r="AH193" s="767"/>
      <c r="AI193" s="767"/>
      <c r="AJ193" s="767" t="str">
        <f>'Translate&amp;Prices&amp;Logo'!$O$559</f>
        <v>Pionowo (termin dostawy 4 tygodnie)</v>
      </c>
      <c r="AK193" s="767"/>
      <c r="AL193" s="767"/>
      <c r="AM193" s="767"/>
      <c r="AN193" s="767"/>
      <c r="AO193" s="767"/>
      <c r="AR193" s="766"/>
      <c r="AU193">
        <v>1</v>
      </c>
      <c r="AV193" t="str">
        <f>'Translate&amp;Prices&amp;Logo'!$O$558</f>
        <v>Poziomo (termin dostawy 4 tygodnie)</v>
      </c>
      <c r="AZ193">
        <v>3</v>
      </c>
      <c r="BA193" t="str">
        <f>'Translate&amp;Prices&amp;Logo'!$O$552</f>
        <v>Podnośniki</v>
      </c>
      <c r="BX193" s="1">
        <v>2</v>
      </c>
      <c r="BY193" s="1" t="str">
        <f>'Translate&amp;Prices&amp;Logo'!$O$101</f>
        <v>Hartowane</v>
      </c>
      <c r="CA193"/>
      <c r="CB193"/>
    </row>
    <row r="194" spans="19:80" ht="16.350000000000001" customHeight="1">
      <c r="W194" s="751" t="str">
        <f>('Translate&amp;Prices&amp;Logo'!$O$543)&amp;" "&amp;"("&amp;'Translate&amp;Prices&amp;Logo'!$O$174&amp;")"</f>
        <v>Szprosy (Ilość sztuk)</v>
      </c>
      <c r="X194" s="751"/>
      <c r="Y194" s="751"/>
      <c r="Z194" s="751"/>
      <c r="AA194" s="751"/>
      <c r="AB194" s="56"/>
      <c r="AC194" s="750">
        <f>Ram_6!$H$11</f>
        <v>0</v>
      </c>
      <c r="AD194" s="750"/>
      <c r="AE194" s="750"/>
      <c r="AF194" s="750"/>
      <c r="AG194" s="750"/>
      <c r="AH194" s="750"/>
      <c r="AI194" s="750"/>
      <c r="AJ194" s="750">
        <f>Ram_6!$M$11</f>
        <v>0</v>
      </c>
      <c r="AK194" s="750"/>
      <c r="AL194" s="750"/>
      <c r="AM194" s="750"/>
      <c r="AN194" s="750"/>
      <c r="AO194" s="750"/>
      <c r="AR194" s="766"/>
      <c r="AU194">
        <v>2</v>
      </c>
      <c r="AV194" t="str">
        <f>'Translate&amp;Prices&amp;Logo'!$O$559</f>
        <v>Pionowo (termin dostawy 4 tygodnie)</v>
      </c>
      <c r="BX194" s="1">
        <v>3</v>
      </c>
      <c r="BY194" s="1" t="str">
        <f>'Translate&amp;Prices&amp;Logo'!$O$102</f>
        <v>Folia</v>
      </c>
      <c r="CA194"/>
      <c r="CB194"/>
    </row>
    <row r="195" spans="19:80" ht="16.350000000000001" customHeight="1">
      <c r="W195" s="751" t="str">
        <f>'Translate&amp;Prices&amp;Logo'!$O$258</f>
        <v>Typ okucia</v>
      </c>
      <c r="X195" s="751"/>
      <c r="Y195" s="751"/>
      <c r="Z195" s="751"/>
      <c r="AA195" s="751"/>
      <c r="AB195" s="246"/>
      <c r="AC195" s="750">
        <f>IFERROR(VLOOKUP(Ram_6!$AU$9,AZ192:BA193,2,0),0)</f>
        <v>0</v>
      </c>
      <c r="AD195" s="750"/>
      <c r="AE195" s="750"/>
      <c r="AF195" s="750"/>
      <c r="AG195" s="750"/>
      <c r="AH195" s="750"/>
      <c r="AI195" s="750"/>
      <c r="AJ195" s="750"/>
      <c r="AK195" s="750"/>
      <c r="AL195" s="750"/>
      <c r="AM195" s="750"/>
      <c r="AN195" s="750"/>
      <c r="AO195" s="750"/>
      <c r="AR195" s="766"/>
      <c r="AU195">
        <v>3</v>
      </c>
      <c r="AV195" t="str">
        <f>'Translate&amp;Prices&amp;Logo'!$O$560</f>
        <v>Poziomo i pionowo (termin dostawy 4 tygodnie)</v>
      </c>
      <c r="CA195"/>
      <c r="CB195"/>
    </row>
    <row r="196" spans="19:80" ht="16.350000000000001" customHeight="1">
      <c r="W196" s="751" t="str">
        <f>'Translate&amp;Prices&amp;Logo'!$O$544</f>
        <v>Marka okucia</v>
      </c>
      <c r="X196" s="751"/>
      <c r="Y196" s="751"/>
      <c r="Z196" s="751"/>
      <c r="AA196" s="751"/>
      <c r="AB196" s="246"/>
      <c r="AC196" s="750">
        <f>Ram_6!$H$13</f>
        <v>0</v>
      </c>
      <c r="AD196" s="750"/>
      <c r="AE196" s="750"/>
      <c r="AF196" s="750"/>
      <c r="AG196" s="750"/>
      <c r="AH196" s="750"/>
      <c r="AI196" s="750"/>
      <c r="AJ196" s="750"/>
      <c r="AK196" s="750"/>
      <c r="AL196" s="750"/>
      <c r="AM196" s="750"/>
      <c r="AN196" s="750"/>
      <c r="AO196" s="750"/>
      <c r="AR196" s="766"/>
      <c r="CA196"/>
      <c r="CB196"/>
    </row>
    <row r="197" spans="19:80" ht="16.350000000000001" customHeight="1" thickBot="1">
      <c r="W197" s="751" t="str">
        <f>'Translate&amp;Prices&amp;Logo'!$O$546</f>
        <v>Nałożenie</v>
      </c>
      <c r="X197" s="751"/>
      <c r="Y197" s="751"/>
      <c r="Z197" s="751"/>
      <c r="AA197" s="751"/>
      <c r="AB197" s="246"/>
      <c r="AC197" s="750">
        <f>IFERROR(VLOOKUP(Ram_6!$H$14,$BD$12:$BE$29,2,0),0)</f>
        <v>0</v>
      </c>
      <c r="AD197" s="750"/>
      <c r="AE197" s="750"/>
      <c r="AF197" s="750"/>
      <c r="AG197" s="750"/>
      <c r="AH197" s="750"/>
      <c r="AI197" s="750"/>
      <c r="AJ197" s="750"/>
      <c r="AK197" s="750"/>
      <c r="AL197" s="750"/>
      <c r="AM197" s="750"/>
      <c r="AN197" s="750"/>
      <c r="AO197" s="750"/>
      <c r="AR197" s="766"/>
      <c r="CA197"/>
      <c r="CB197"/>
    </row>
    <row r="198" spans="19:80" ht="16.350000000000001" customHeight="1">
      <c r="S198" s="761">
        <f>Ram_6!AR14</f>
        <v>0</v>
      </c>
      <c r="W198" s="751" t="str">
        <f>'Translate&amp;Prices&amp;Logo'!$O$545</f>
        <v>Wariant okucia</v>
      </c>
      <c r="X198" s="751"/>
      <c r="Y198" s="751"/>
      <c r="Z198" s="751"/>
      <c r="AA198" s="751"/>
      <c r="AB198" s="246"/>
      <c r="AC198" s="777">
        <f>IFERROR(VLOOKUP(Ram_6!$H$15,kombinace_1!$ED$2:$EE$758,2,0),Ram_6!$H$15)</f>
        <v>0</v>
      </c>
      <c r="AD198" s="777"/>
      <c r="AE198" s="777"/>
      <c r="AF198" s="777"/>
      <c r="AG198" s="777"/>
      <c r="AH198" s="777"/>
      <c r="AI198" s="777"/>
      <c r="AJ198" s="777" t="str">
        <f>IF(AC198='Translate&amp;Prices&amp;Logo'!C698,VLOOKUP(Ram_6!H17,'Translate&amp;Prices&amp;Logo'!C699:D746,2,0),"")</f>
        <v/>
      </c>
      <c r="AK198" s="777"/>
      <c r="AL198" s="777"/>
      <c r="AM198" s="777"/>
      <c r="AN198" s="777"/>
      <c r="AO198" s="777"/>
      <c r="AR198" s="766"/>
      <c r="CA198"/>
      <c r="CB198"/>
    </row>
    <row r="199" spans="19:80" ht="16.350000000000001" customHeight="1">
      <c r="S199" s="762">
        <f>Ram_1!AR195</f>
        <v>0</v>
      </c>
      <c r="W199" s="751" t="str">
        <f>'Translate&amp;Prices&amp;Logo'!$O$218</f>
        <v>Wybierz pozycję ramki</v>
      </c>
      <c r="X199" s="751"/>
      <c r="Y199" s="751"/>
      <c r="Z199" s="751"/>
      <c r="AA199" s="751"/>
      <c r="AB199" s="750">
        <f>IFERROR(VLOOKUP(Ram_6!$F$16,BI12:BJ23,2,0),0)</f>
        <v>0</v>
      </c>
      <c r="AC199" s="750"/>
      <c r="AD199" s="750"/>
      <c r="AE199" s="750"/>
      <c r="AF199" s="750"/>
      <c r="AG199" s="778" t="str">
        <f>'Translate&amp;Prices&amp;Logo'!$O$232</f>
        <v>Rodzaj drugiej ramki</v>
      </c>
      <c r="AH199" s="778"/>
      <c r="AI199" s="778"/>
      <c r="AJ199" s="750">
        <f>IFERROR(VLOOKUP(Ram_6!$N$16,BM12:BN41,2,0),0)</f>
        <v>0</v>
      </c>
      <c r="AK199" s="750"/>
      <c r="AL199" s="750"/>
      <c r="AM199" s="750"/>
      <c r="AN199" s="750"/>
      <c r="AO199" s="750"/>
      <c r="AR199" s="766"/>
      <c r="CA199"/>
      <c r="CB199"/>
    </row>
    <row r="200" spans="19:80" ht="16.350000000000001" customHeight="1">
      <c r="S200" s="762">
        <f>Ram_1!AR196</f>
        <v>0</v>
      </c>
      <c r="W200" s="751" t="str">
        <f>IF(AC195='Translate&amp;Prices&amp;Logo'!O551,'Translate&amp;Prices&amp;Logo'!O238,'Translate&amp;Prices&amp;Logo'!$O$226)</f>
        <v>Umieszczenie</v>
      </c>
      <c r="X200" s="751"/>
      <c r="Y200" s="751"/>
      <c r="Z200" s="751"/>
      <c r="AA200" s="751"/>
      <c r="AB200" s="246"/>
      <c r="AC200" s="750" t="str">
        <f>IFERROR((IF(Ram_6!H12='Translate&amp;Prices&amp;Logo'!B552,VLOOKUP(Ram_6!$N$16,BM42:BN71,2,0),VLOOKUP(Ram_6!$H$17,BM42:BN65,2,0))),"")</f>
        <v/>
      </c>
      <c r="AD200" s="750"/>
      <c r="AE200" s="750"/>
      <c r="AF200" s="750"/>
      <c r="AG200" s="750"/>
      <c r="AH200" s="750"/>
      <c r="AI200" s="750"/>
      <c r="AJ200" s="750"/>
      <c r="AK200" s="750"/>
      <c r="AL200" s="750"/>
      <c r="AM200" s="750"/>
      <c r="AN200" s="750"/>
      <c r="AO200" s="750"/>
      <c r="AR200" s="766"/>
      <c r="CA200"/>
      <c r="CB200"/>
    </row>
    <row r="201" spans="19:80" ht="16.350000000000001" customHeight="1">
      <c r="S201" s="762">
        <f>Ram_1!AR197</f>
        <v>0</v>
      </c>
      <c r="W201" s="751" t="str">
        <f>'Translate&amp;Prices&amp;Logo'!$O$547</f>
        <v>Zawiasy do podnośników</v>
      </c>
      <c r="X201" s="751"/>
      <c r="Y201" s="751"/>
      <c r="Z201" s="751"/>
      <c r="AA201" s="751"/>
      <c r="AB201" s="246"/>
      <c r="AC201" s="750">
        <f>IFERROR((VLOOKUP(Ram_6!$H$18,$CK$2:$CL$90,2,0)),Ram_6!$H$18)</f>
        <v>0</v>
      </c>
      <c r="AD201" s="750"/>
      <c r="AE201" s="750"/>
      <c r="AF201" s="750"/>
      <c r="AG201" s="750"/>
      <c r="AH201" s="750"/>
      <c r="AI201" s="750"/>
      <c r="AJ201" s="750"/>
      <c r="AK201" s="750"/>
      <c r="AL201" s="750"/>
      <c r="AM201" s="750"/>
      <c r="AN201" s="750"/>
      <c r="AO201" s="750"/>
      <c r="AR201" s="766"/>
      <c r="CA201"/>
      <c r="CB201"/>
    </row>
    <row r="202" spans="19:80" ht="16.350000000000001" customHeight="1">
      <c r="S202" s="762">
        <f>Ram_1!AR198</f>
        <v>0</v>
      </c>
      <c r="W202" s="751" t="str">
        <f>'Translate&amp;Prices&amp;Logo'!$O$223</f>
        <v>Ilość zawiasów na 1 ramkę</v>
      </c>
      <c r="X202" s="751"/>
      <c r="Y202" s="751"/>
      <c r="Z202" s="751"/>
      <c r="AA202" s="751"/>
      <c r="AB202" s="56"/>
      <c r="AC202" s="750">
        <f>Ram_6!$H$19</f>
        <v>0</v>
      </c>
      <c r="AD202" s="750"/>
      <c r="AE202" s="750"/>
      <c r="AF202" s="750"/>
      <c r="AG202" s="750"/>
      <c r="AH202" s="750"/>
      <c r="AI202" s="750"/>
      <c r="AJ202" s="750"/>
      <c r="AK202" s="750"/>
      <c r="AL202" s="750"/>
      <c r="AM202" s="750"/>
      <c r="AN202" s="750"/>
      <c r="AO202" s="750"/>
      <c r="AR202" s="766"/>
      <c r="CA202"/>
      <c r="CB202"/>
    </row>
    <row r="203" spans="19:80" ht="16.350000000000001" customHeight="1">
      <c r="S203" s="763" t="str">
        <f>'Translate&amp;Prices&amp;Logo'!$O$176</f>
        <v>Wysokość</v>
      </c>
      <c r="W203" s="751" t="e">
        <f>'Translate&amp;Prices&amp;Logo'!$O$242&amp;" "&amp;VLOOKUP(Ram_6!H17,kombinace_1!$BY$32:$CC$35,5,0)</f>
        <v>#N/A</v>
      </c>
      <c r="X203" s="751"/>
      <c r="Y203" s="751"/>
      <c r="Z203" s="751"/>
      <c r="AA203" s="751"/>
      <c r="AB203" s="750">
        <f>Ram_6!$F$20</f>
        <v>100</v>
      </c>
      <c r="AC203" s="750"/>
      <c r="AD203" s="750"/>
      <c r="AE203" s="750"/>
      <c r="AF203" s="750"/>
      <c r="AG203" s="751" t="e">
        <f>'Translate&amp;Prices&amp;Logo'!$O$242&amp;" "&amp;VLOOKUP(Ram_6!H17,kombinace_1!$BY$32:$CD$35,6,0)</f>
        <v>#N/A</v>
      </c>
      <c r="AH203" s="751"/>
      <c r="AI203" s="751"/>
      <c r="AJ203" s="751"/>
      <c r="AK203" s="751"/>
      <c r="AL203" s="750">
        <f>Ram_6!$N$20</f>
        <v>100</v>
      </c>
      <c r="AM203" s="750"/>
      <c r="AN203" s="750"/>
      <c r="AO203" s="750"/>
      <c r="AR203" s="766"/>
      <c r="CA203"/>
      <c r="CB203"/>
    </row>
    <row r="204" spans="19:80" ht="16.350000000000001" customHeight="1">
      <c r="S204" s="763" t="e">
        <f>Ram_1!#REF!</f>
        <v>#REF!</v>
      </c>
      <c r="W204" s="250" t="str">
        <f>'Translate&amp;Prices&amp;Logo'!$O$653</f>
        <v>Wypełnienie z siatki</v>
      </c>
      <c r="X204" s="126"/>
      <c r="Y204" s="126"/>
      <c r="Z204" s="126"/>
      <c r="AA204" s="126"/>
      <c r="AB204" s="246"/>
      <c r="AC204" s="749" t="str">
        <f>IF(kombinace_6!FC2=TRUE,"Tak","Nie")</f>
        <v>Nie</v>
      </c>
      <c r="AD204" s="749"/>
      <c r="AE204" s="749"/>
      <c r="AF204" s="749"/>
      <c r="AG204" s="749"/>
      <c r="AH204" s="749"/>
      <c r="AI204" s="749"/>
      <c r="AJ204" s="749"/>
      <c r="AK204" s="749"/>
      <c r="AL204" s="749"/>
      <c r="AM204" s="749"/>
      <c r="AN204" s="749"/>
      <c r="AO204" s="749"/>
      <c r="AR204" s="766"/>
      <c r="CA204"/>
      <c r="CB204"/>
    </row>
    <row r="205" spans="19:80" ht="16.350000000000001" customHeight="1">
      <c r="S205" s="763" t="e">
        <f>Ram_1!#REF!</f>
        <v>#REF!</v>
      </c>
      <c r="W205" s="751" t="str">
        <f>'Translate&amp;Prices&amp;Logo'!$O$173</f>
        <v>Rodzaj szkła</v>
      </c>
      <c r="X205" s="751"/>
      <c r="Y205" s="751"/>
      <c r="Z205" s="751"/>
      <c r="AA205" s="751"/>
      <c r="AB205" s="246"/>
      <c r="AC205" s="750" t="str">
        <f>IFERROR(VLOOKUP(kombinace_6!$V$1,BX192:BY194,2,0),0)</f>
        <v>Bez modyfikacji</v>
      </c>
      <c r="AD205" s="750"/>
      <c r="AE205" s="750"/>
      <c r="AF205" s="750"/>
      <c r="AG205" s="750"/>
      <c r="AH205" s="750"/>
      <c r="AI205" s="750"/>
      <c r="AJ205" s="750"/>
      <c r="AK205" s="750"/>
      <c r="AL205" s="750"/>
      <c r="AM205" s="750"/>
      <c r="AN205" s="750"/>
      <c r="AO205" s="750"/>
      <c r="AR205" s="766"/>
      <c r="CA205"/>
      <c r="CB205"/>
    </row>
    <row r="206" spans="19:80" ht="16.350000000000001" customHeight="1">
      <c r="S206" s="763" t="e">
        <f>Ram_1!#REF!</f>
        <v>#REF!</v>
      </c>
      <c r="W206" s="751" t="str">
        <f>'Translate&amp;Prices&amp;Logo'!$O$562</f>
        <v>Rodzaj folii</v>
      </c>
      <c r="X206" s="751"/>
      <c r="Y206" s="751"/>
      <c r="Z206" s="751"/>
      <c r="AA206" s="751"/>
      <c r="AB206" s="246"/>
      <c r="AC206" s="750">
        <f>IFERROR(VLOOKUP(Ram_6!$H$24,CA12:CB29,2,0),0)</f>
        <v>0</v>
      </c>
      <c r="AD206" s="750"/>
      <c r="AE206" s="750"/>
      <c r="AF206" s="750"/>
      <c r="AG206" s="750"/>
      <c r="AH206" s="750"/>
      <c r="AI206" s="750"/>
      <c r="AJ206" s="750"/>
      <c r="AK206" s="750"/>
      <c r="AL206" s="750"/>
      <c r="AM206" s="750"/>
      <c r="AN206" s="750"/>
      <c r="AO206" s="750"/>
      <c r="AR206" s="766"/>
      <c r="CA206"/>
      <c r="CB206"/>
    </row>
    <row r="207" spans="19:80" ht="16.350000000000001" customHeight="1" thickBot="1">
      <c r="S207" s="764" t="e">
        <f>Ram_1!#REF!</f>
        <v>#REF!</v>
      </c>
      <c r="W207" s="751" t="str">
        <f>'Translate&amp;Prices&amp;Logo'!$O$173</f>
        <v>Rodzaj szkła</v>
      </c>
      <c r="X207" s="751"/>
      <c r="Y207" s="751"/>
      <c r="Z207" s="751"/>
      <c r="AA207" s="751"/>
      <c r="AB207" s="246"/>
      <c r="AC207" s="750">
        <f>IFERROR(VLOOKUP(Ram_6!$H$25,'Translate&amp;Prices&amp;Logo'!$AH$1:$AI$165,2,0),Ram_6!$H$25)</f>
        <v>0</v>
      </c>
      <c r="AD207" s="750"/>
      <c r="AE207" s="750"/>
      <c r="AF207" s="750"/>
      <c r="AG207" s="750"/>
      <c r="AH207" s="750"/>
      <c r="AI207" s="750"/>
      <c r="AJ207" s="750"/>
      <c r="AK207" s="750"/>
      <c r="AL207" s="750"/>
      <c r="AM207" s="750"/>
      <c r="AN207" s="750"/>
      <c r="AO207" s="750"/>
      <c r="AR207" s="766"/>
    </row>
    <row r="208" spans="19:80" ht="16.350000000000001" customHeight="1">
      <c r="W208" s="751" t="str">
        <f>'Translate&amp;Prices&amp;Logo'!$O$549</f>
        <v>Rozstaw uchwytu (mm)</v>
      </c>
      <c r="X208" s="751"/>
      <c r="Y208" s="751"/>
      <c r="Z208" s="751"/>
      <c r="AA208" s="751"/>
      <c r="AB208" s="246"/>
      <c r="AC208" s="750">
        <f>Ram_6!$H$26</f>
        <v>0</v>
      </c>
      <c r="AD208" s="750"/>
      <c r="AE208" s="750"/>
      <c r="AF208" s="750"/>
      <c r="AG208" s="750"/>
      <c r="AH208" s="750"/>
      <c r="AI208" s="750"/>
      <c r="AJ208" s="750"/>
      <c r="AK208" s="750"/>
      <c r="AL208" s="750"/>
      <c r="AM208" s="750"/>
      <c r="AN208" s="750"/>
      <c r="AO208" s="750"/>
      <c r="AR208" s="766"/>
    </row>
    <row r="209" spans="1:44" ht="16.350000000000001" customHeight="1">
      <c r="W209" s="751" t="str">
        <f>'Translate&amp;Prices&amp;Logo'!$O$550</f>
        <v>Umieszczenie uchwytu</v>
      </c>
      <c r="X209" s="751"/>
      <c r="Y209" s="751"/>
      <c r="Z209" s="751"/>
      <c r="AA209" s="751"/>
      <c r="AB209" s="246"/>
      <c r="AC209" s="750">
        <f>IFERROR(VLOOKUP(Ram_6!$H$27,BM42:BN65,2,0),0)</f>
        <v>0</v>
      </c>
      <c r="AD209" s="750"/>
      <c r="AE209" s="750"/>
      <c r="AF209" s="750"/>
      <c r="AG209" s="750"/>
      <c r="AH209" s="750"/>
      <c r="AI209" s="750"/>
      <c r="AJ209" s="750"/>
      <c r="AK209" s="750"/>
      <c r="AL209" s="750"/>
      <c r="AM209" s="750"/>
      <c r="AN209" s="750"/>
      <c r="AO209" s="750"/>
      <c r="AR209" s="766"/>
    </row>
    <row r="210" spans="1:44" ht="16.350000000000001" customHeight="1">
      <c r="W210" s="751" t="str">
        <f>('Translate&amp;Prices&amp;Logo'!$O$174)&amp;" "&amp;"-"&amp;" "&amp;('Translate&amp;Prices&amp;Logo'!$O$169)&amp;" "&amp;" "&amp;6</f>
        <v>Ilość sztuk - Ramka  6</v>
      </c>
      <c r="X210" s="751"/>
      <c r="Y210" s="751"/>
      <c r="Z210" s="751"/>
      <c r="AA210" s="751"/>
      <c r="AB210" s="246"/>
      <c r="AC210" s="750">
        <f>Ram_6!$H$28</f>
        <v>0</v>
      </c>
      <c r="AD210" s="750"/>
      <c r="AE210" s="750"/>
      <c r="AF210" s="750"/>
      <c r="AG210" s="750"/>
      <c r="AH210" s="750"/>
      <c r="AI210" s="750"/>
      <c r="AJ210" s="750"/>
      <c r="AK210" s="750"/>
      <c r="AL210" s="750"/>
      <c r="AM210" s="750"/>
      <c r="AN210" s="750"/>
      <c r="AO210" s="750"/>
      <c r="AR210" s="766"/>
    </row>
    <row r="211" spans="1:44" ht="16.350000000000001" customHeight="1">
      <c r="AE211" s="1"/>
      <c r="AF211" s="1"/>
      <c r="AR211" s="766"/>
    </row>
    <row r="212" spans="1:44" ht="14.85" customHeight="1">
      <c r="AR212" s="766"/>
    </row>
    <row r="213" spans="1:44" ht="14.85" customHeight="1">
      <c r="W213" s="756" t="s">
        <v>1604</v>
      </c>
      <c r="X213" s="756"/>
      <c r="Y213" s="756"/>
      <c r="Z213" s="756"/>
      <c r="AE213" s="756" t="s">
        <v>1605</v>
      </c>
      <c r="AF213" s="756"/>
      <c r="AG213" s="756"/>
      <c r="AH213" s="756"/>
      <c r="AR213" s="766"/>
    </row>
    <row r="214" spans="1:44" ht="14.85" customHeight="1">
      <c r="AE214" s="768"/>
      <c r="AF214" s="769"/>
      <c r="AG214" s="769"/>
      <c r="AH214" s="769"/>
      <c r="AI214" s="769"/>
      <c r="AJ214" s="769"/>
      <c r="AK214" s="769"/>
      <c r="AL214" s="769"/>
      <c r="AM214" s="769"/>
      <c r="AN214" s="770"/>
      <c r="AR214" s="766"/>
    </row>
    <row r="215" spans="1:44" ht="14.85" customHeight="1">
      <c r="AE215" s="771"/>
      <c r="AF215" s="772"/>
      <c r="AG215" s="772"/>
      <c r="AH215" s="772"/>
      <c r="AI215" s="772"/>
      <c r="AJ215" s="772"/>
      <c r="AK215" s="772"/>
      <c r="AL215" s="772"/>
      <c r="AM215" s="772"/>
      <c r="AN215" s="773"/>
      <c r="AR215" s="766"/>
    </row>
    <row r="216" spans="1:44" ht="14.85" customHeight="1">
      <c r="AE216" s="771"/>
      <c r="AF216" s="772"/>
      <c r="AG216" s="772"/>
      <c r="AH216" s="772"/>
      <c r="AI216" s="772"/>
      <c r="AJ216" s="772"/>
      <c r="AK216" s="772"/>
      <c r="AL216" s="772"/>
      <c r="AM216" s="772"/>
      <c r="AN216" s="773"/>
      <c r="AR216" s="766"/>
    </row>
    <row r="217" spans="1:44" ht="14.85" customHeight="1">
      <c r="D217" s="780">
        <f>IF(OR(Ram_6!$AC$25="x",Ram_6!$AJ$26="x",Ram_6!$AC$9="x",Ram_6!$AJ$7="x",Ram_6!$AB$16="x",Ram_6!$AM$23="x",Ram_6!$AN$19="x",Ram_6!$AD$10="x"),'Translate&amp;Prices&amp;Logo'!$B$588,0)</f>
        <v>0</v>
      </c>
      <c r="E217" s="780"/>
      <c r="F217" s="780"/>
      <c r="G217" s="780"/>
      <c r="H217" s="780"/>
      <c r="I217" s="780"/>
      <c r="J217" s="780"/>
      <c r="K217" s="780"/>
      <c r="L217" s="780"/>
      <c r="M217" s="780"/>
      <c r="N217" s="780"/>
      <c r="O217" s="780"/>
      <c r="P217" s="780"/>
      <c r="AE217" s="771"/>
      <c r="AF217" s="772"/>
      <c r="AG217" s="772"/>
      <c r="AH217" s="772"/>
      <c r="AI217" s="772"/>
      <c r="AJ217" s="772"/>
      <c r="AK217" s="772"/>
      <c r="AL217" s="772"/>
      <c r="AM217" s="772"/>
      <c r="AN217" s="773"/>
      <c r="AR217" s="766"/>
    </row>
    <row r="218" spans="1:44" ht="14.85" customHeight="1">
      <c r="AE218" s="771"/>
      <c r="AF218" s="772"/>
      <c r="AG218" s="772"/>
      <c r="AH218" s="772"/>
      <c r="AI218" s="772"/>
      <c r="AJ218" s="772"/>
      <c r="AK218" s="772"/>
      <c r="AL218" s="772"/>
      <c r="AM218" s="772"/>
      <c r="AN218" s="773"/>
      <c r="AR218" s="766"/>
    </row>
    <row r="219" spans="1:44" ht="14.85" customHeight="1" thickBot="1">
      <c r="AE219" s="771"/>
      <c r="AF219" s="772"/>
      <c r="AG219" s="772"/>
      <c r="AH219" s="772"/>
      <c r="AI219" s="772"/>
      <c r="AJ219" s="772"/>
      <c r="AK219" s="772"/>
      <c r="AL219" s="772"/>
      <c r="AM219" s="772"/>
      <c r="AN219" s="773"/>
      <c r="AR219" s="766"/>
    </row>
    <row r="220" spans="1:44" ht="14.85" customHeight="1" thickBot="1">
      <c r="G220" s="757" t="str">
        <f>'Translate&amp;Prices&amp;Logo'!$O$175</f>
        <v>Szerokość</v>
      </c>
      <c r="H220" s="758" t="e">
        <f>Ram_1!#REF!</f>
        <v>#REF!</v>
      </c>
      <c r="I220" s="758" t="e">
        <f>Ram_1!#REF!</f>
        <v>#REF!</v>
      </c>
      <c r="J220" s="759">
        <f>Ram_6!AI30</f>
        <v>0</v>
      </c>
      <c r="K220" s="759" t="e">
        <f>Ram_1!#REF!</f>
        <v>#REF!</v>
      </c>
      <c r="L220" s="760" t="e">
        <f>Ram_1!#REF!</f>
        <v>#REF!</v>
      </c>
      <c r="AE220" s="771"/>
      <c r="AF220" s="772"/>
      <c r="AG220" s="772"/>
      <c r="AH220" s="772"/>
      <c r="AI220" s="772"/>
      <c r="AJ220" s="772"/>
      <c r="AK220" s="772"/>
      <c r="AL220" s="772"/>
      <c r="AM220" s="772"/>
      <c r="AN220" s="773"/>
      <c r="AR220" s="766"/>
    </row>
    <row r="221" spans="1:44" ht="21" customHeight="1">
      <c r="AE221" s="774"/>
      <c r="AF221" s="775"/>
      <c r="AG221" s="775"/>
      <c r="AH221" s="775"/>
      <c r="AI221" s="775"/>
      <c r="AJ221" s="775"/>
      <c r="AK221" s="775"/>
      <c r="AL221" s="775"/>
      <c r="AM221" s="775"/>
      <c r="AN221" s="776"/>
      <c r="AR221" s="766"/>
    </row>
    <row r="222" spans="1:44" ht="14.85" customHeight="1">
      <c r="AR222" s="766"/>
    </row>
    <row r="223" spans="1:44" ht="14.85" customHeight="1">
      <c r="AR223" s="766"/>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59">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W135:AA135"/>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49" priority="76" operator="equal">
      <formula>0</formula>
    </cfRule>
  </conditionalFormatting>
  <conditionalFormatting sqref="D73:P73">
    <cfRule type="cellIs" dxfId="148" priority="74" operator="equal">
      <formula>0</formula>
    </cfRule>
  </conditionalFormatting>
  <conditionalFormatting sqref="D109:P109">
    <cfRule type="cellIs" dxfId="147" priority="73" operator="equal">
      <formula>0</formula>
    </cfRule>
  </conditionalFormatting>
  <conditionalFormatting sqref="D145:P145">
    <cfRule type="cellIs" dxfId="146" priority="72" operator="equal">
      <formula>0</formula>
    </cfRule>
  </conditionalFormatting>
  <conditionalFormatting sqref="D181:P181">
    <cfRule type="cellIs" dxfId="145" priority="71" operator="equal">
      <formula>0</formula>
    </cfRule>
  </conditionalFormatting>
  <conditionalFormatting sqref="D217:P217">
    <cfRule type="cellIs" dxfId="144" priority="70" operator="equal">
      <formula>0</formula>
    </cfRule>
  </conditionalFormatting>
  <conditionalFormatting sqref="W14:AB14">
    <cfRule type="expression" dxfId="142" priority="27">
      <formula>$AC$12=$AV$12</formula>
    </cfRule>
  </conditionalFormatting>
  <conditionalFormatting sqref="W20:AB20">
    <cfRule type="expression" dxfId="141" priority="192">
      <formula>$AC$20=0</formula>
    </cfRule>
  </conditionalFormatting>
  <conditionalFormatting sqref="W50:AB50">
    <cfRule type="expression" dxfId="140" priority="26">
      <formula>$AC$48=$AV$48</formula>
    </cfRule>
  </conditionalFormatting>
  <conditionalFormatting sqref="W86:AB86">
    <cfRule type="expression" dxfId="139" priority="25">
      <formula>$AC$84=$AV$84</formula>
    </cfRule>
  </conditionalFormatting>
  <conditionalFormatting sqref="W122:AB122">
    <cfRule type="expression" dxfId="138" priority="24">
      <formula>$AC$120=$AV$120</formula>
    </cfRule>
  </conditionalFormatting>
  <conditionalFormatting sqref="W158:AB158">
    <cfRule type="expression" dxfId="137" priority="23">
      <formula>$AC$156=$AV$156</formula>
    </cfRule>
  </conditionalFormatting>
  <conditionalFormatting sqref="W194:AB194">
    <cfRule type="expression" dxfId="136" priority="22">
      <formula>$AC$192=$AV$192</formula>
    </cfRule>
  </conditionalFormatting>
  <conditionalFormatting sqref="W95:AC96">
    <cfRule type="cellIs" dxfId="135" priority="32" operator="equal">
      <formula>0</formula>
    </cfRule>
  </conditionalFormatting>
  <conditionalFormatting sqref="W19:AG19 AJ19">
    <cfRule type="expression" dxfId="134" priority="193">
      <formula>$AB$19=0</formula>
    </cfRule>
  </conditionalFormatting>
  <conditionalFormatting sqref="W55:AG55 AJ55">
    <cfRule type="expression" dxfId="133" priority="113">
      <formula>$AB$55=0</formula>
    </cfRule>
  </conditionalFormatting>
  <conditionalFormatting sqref="W91:AG91 AJ91:AK91">
    <cfRule type="expression" dxfId="132" priority="105">
      <formula>$AB$91=0</formula>
    </cfRule>
  </conditionalFormatting>
  <conditionalFormatting sqref="W127:AG127 AJ127">
    <cfRule type="expression" dxfId="131" priority="97">
      <formula>$AB$127=0</formula>
    </cfRule>
  </conditionalFormatting>
  <conditionalFormatting sqref="W163:AG163 AJ163">
    <cfRule type="expression" dxfId="130" priority="89">
      <formula>$AB$163=0</formula>
    </cfRule>
  </conditionalFormatting>
  <conditionalFormatting sqref="W199:AG199 AJ199">
    <cfRule type="expression" dxfId="129" priority="81">
      <formula>$AB$199=0</formula>
    </cfRule>
  </conditionalFormatting>
  <conditionalFormatting sqref="W22:AO23">
    <cfRule type="expression" dxfId="128" priority="190">
      <formula>$AC$22=0</formula>
    </cfRule>
  </conditionalFormatting>
  <conditionalFormatting sqref="W56:AO56">
    <cfRule type="expression" dxfId="127" priority="112">
      <formula>$AC$56=0</formula>
    </cfRule>
  </conditionalFormatting>
  <conditionalFormatting sqref="W58:AO58 W59:AC59 AG59:AO59">
    <cfRule type="expression" dxfId="126" priority="110">
      <formula>$AC$58=0</formula>
    </cfRule>
  </conditionalFormatting>
  <conditionalFormatting sqref="W92:AO92">
    <cfRule type="expression" dxfId="125" priority="104">
      <formula>$AC$92=0</formula>
    </cfRule>
  </conditionalFormatting>
  <conditionalFormatting sqref="W94:AO94 W95:AA95 AC95 AG95:AO95">
    <cfRule type="expression" dxfId="124" priority="102">
      <formula>$AC$94=0</formula>
    </cfRule>
  </conditionalFormatting>
  <conditionalFormatting sqref="W128:AO128">
    <cfRule type="expression" dxfId="123" priority="96">
      <formula>$AC$128=0</formula>
    </cfRule>
  </conditionalFormatting>
  <conditionalFormatting sqref="W130:AO131">
    <cfRule type="expression" dxfId="122" priority="94">
      <formula>$AC$130=0</formula>
    </cfRule>
  </conditionalFormatting>
  <conditionalFormatting sqref="W164:AO164 AB165">
    <cfRule type="expression" dxfId="121" priority="88">
      <formula>$AC$164=0</formula>
    </cfRule>
  </conditionalFormatting>
  <conditionalFormatting sqref="W166:AO167">
    <cfRule type="expression" dxfId="120" priority="86">
      <formula>$AC$166=0</formula>
    </cfRule>
  </conditionalFormatting>
  <conditionalFormatting sqref="W200:AO200 AB201">
    <cfRule type="expression" dxfId="119" priority="80">
      <formula>$AC$200=0</formula>
    </cfRule>
  </conditionalFormatting>
  <conditionalFormatting sqref="W202:AO203">
    <cfRule type="expression" dxfId="118" priority="78">
      <formula>$AC$202=0</formula>
    </cfRule>
  </conditionalFormatting>
  <conditionalFormatting sqref="AB121">
    <cfRule type="cellIs" dxfId="117" priority="33" operator="equal">
      <formula>0</formula>
    </cfRule>
  </conditionalFormatting>
  <conditionalFormatting sqref="AB157">
    <cfRule type="cellIs" dxfId="116" priority="34" operator="equal">
      <formula>0</formula>
    </cfRule>
  </conditionalFormatting>
  <conditionalFormatting sqref="AC13">
    <cfRule type="expression" dxfId="115" priority="52" stopIfTrue="1">
      <formula>$AC$14=0</formula>
    </cfRule>
  </conditionalFormatting>
  <conditionalFormatting sqref="AC49:AI50">
    <cfRule type="expression" dxfId="114" priority="50" stopIfTrue="1">
      <formula>$AC$50=0</formula>
    </cfRule>
  </conditionalFormatting>
  <conditionalFormatting sqref="AC85:AI86">
    <cfRule type="expression" dxfId="113" priority="48" stopIfTrue="1">
      <formula>$AC$86=0</formula>
    </cfRule>
  </conditionalFormatting>
  <conditionalFormatting sqref="AC121:AI122">
    <cfRule type="expression" dxfId="112" priority="46" stopIfTrue="1">
      <formula>$AC$122=0</formula>
    </cfRule>
  </conditionalFormatting>
  <conditionalFormatting sqref="AC157:AI158">
    <cfRule type="expression" dxfId="111" priority="44" stopIfTrue="1">
      <formula>$AC$158=0</formula>
    </cfRule>
  </conditionalFormatting>
  <conditionalFormatting sqref="AC193:AI194">
    <cfRule type="expression" dxfId="110" priority="42" stopIfTrue="1">
      <formula>$AC$194=0</formula>
    </cfRule>
  </conditionalFormatting>
  <conditionalFormatting sqref="AC17:AO17">
    <cfRule type="expression" dxfId="109" priority="194">
      <formula>$AC$17=0</formula>
    </cfRule>
  </conditionalFormatting>
  <conditionalFormatting sqref="AC53:AO53">
    <cfRule type="expression" dxfId="108" priority="114">
      <formula>$AC$53=0</formula>
    </cfRule>
  </conditionalFormatting>
  <conditionalFormatting sqref="AC89:AO89">
    <cfRule type="expression" dxfId="107" priority="106">
      <formula>$AC$89=0</formula>
    </cfRule>
  </conditionalFormatting>
  <conditionalFormatting sqref="AC125:AO125">
    <cfRule type="expression" dxfId="106" priority="98">
      <formula>$AC$125=0</formula>
    </cfRule>
  </conditionalFormatting>
  <conditionalFormatting sqref="AC161:AO161">
    <cfRule type="expression" dxfId="105" priority="90">
      <formula>$AC$161=0</formula>
    </cfRule>
  </conditionalFormatting>
  <conditionalFormatting sqref="AC197:AO197">
    <cfRule type="expression" dxfId="104" priority="82">
      <formula>$AC$197=0</formula>
    </cfRule>
  </conditionalFormatting>
  <conditionalFormatting sqref="AJ13:AO14">
    <cfRule type="expression" dxfId="103" priority="51" stopIfTrue="1">
      <formula>$AJ$14=0</formula>
    </cfRule>
  </conditionalFormatting>
  <conditionalFormatting sqref="AJ49:AO50">
    <cfRule type="expression" dxfId="102" priority="49" stopIfTrue="1">
      <formula>$AJ$50=0</formula>
    </cfRule>
  </conditionalFormatting>
  <conditionalFormatting sqref="AJ85:AO86">
    <cfRule type="expression" dxfId="101" priority="47" stopIfTrue="1">
      <formula>$AJ$86=0</formula>
    </cfRule>
  </conditionalFormatting>
  <conditionalFormatting sqref="AJ121:AO122">
    <cfRule type="expression" dxfId="100" priority="45" stopIfTrue="1">
      <formula>$AJ$122=0</formula>
    </cfRule>
  </conditionalFormatting>
  <conditionalFormatting sqref="AJ157:AO158">
    <cfRule type="expression" dxfId="99" priority="43" stopIfTrue="1">
      <formula>$AJ$158=0</formula>
    </cfRule>
  </conditionalFormatting>
  <conditionalFormatting sqref="AJ193:AO194">
    <cfRule type="expression" dxfId="98" priority="41" stopIfTrue="1">
      <formula>$AJ$194=0</formula>
    </cfRule>
  </conditionalFormatting>
  <conditionalFormatting sqref="BS68:BT71">
    <cfRule type="expression" dxfId="97" priority="36" stopIfTrue="1">
      <formula>AND(COUNTIF($M$582:$M$587, BS68)+COUNTIF($M$593:$M$624, BS68)+COUNTIF($M$627:$M$627, BS68)+COUNTIF($M$642:$M$644, BS68)&gt;1,NOT(ISBLANK(BS68)))</formula>
    </cfRule>
  </conditionalFormatting>
  <conditionalFormatting sqref="BS104:BT107">
    <cfRule type="expression" dxfId="96" priority="35" stopIfTrue="1">
      <formula>AND(COUNTIF($M$582:$M$587, BS104)+COUNTIF($M$593:$M$624, BS104)+COUNTIF($M$627:$M$627, BS104)+COUNTIF($M$642:$M$644, BS104)&gt;1,NOT(ISBLANK(BS104)))</formula>
    </cfRule>
  </conditionalFormatting>
  <conditionalFormatting sqref="CK100:CK1048576 CK1:CK90">
    <cfRule type="duplicateValues" dxfId="95" priority="761"/>
  </conditionalFormatting>
  <conditionalFormatting sqref="CL73:CL84">
    <cfRule type="duplicateValues" dxfId="94" priority="4"/>
  </conditionalFormatting>
  <conditionalFormatting sqref="CL86:CL87">
    <cfRule type="duplicateValues" dxfId="93" priority="3"/>
  </conditionalFormatting>
  <conditionalFormatting sqref="CL89:CL90">
    <cfRule type="duplicateValues" dxfId="92" priority="2"/>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7"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topLeftCell="A29" workbookViewId="0">
      <selection activeCell="AI29" sqref="AI29"/>
    </sheetView>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4374</v>
      </c>
      <c r="Q1" s="12" t="s">
        <v>4407</v>
      </c>
    </row>
    <row r="2" spans="2:48" ht="14.25" customHeight="1" outlineLevel="1">
      <c r="O2" s="368" t="s">
        <v>4376</v>
      </c>
      <c r="P2" s="12">
        <f>Ram_1!$H$28</f>
        <v>0</v>
      </c>
      <c r="Q2" s="432">
        <f>IF(Ram_1!$H$28&gt;0,IF(Ram_1!$H$25&lt;&gt;"",1,2),0)</f>
        <v>0</v>
      </c>
      <c r="S2" s="12">
        <f>IF(P2&gt;0,1,0)</f>
        <v>0</v>
      </c>
      <c r="U2" s="12" t="b">
        <f>IF(M33=3,IF(U8=1,AH69,IF(U8=2,'doprava demont'!AD31,"dostawa niemożliwa")))</f>
        <v>0</v>
      </c>
      <c r="X2" s="12" t="s">
        <v>4411</v>
      </c>
      <c r="Y2" s="1" t="s">
        <v>4406</v>
      </c>
    </row>
    <row r="3" spans="2:48" ht="14.25" customHeight="1" outlineLevel="1">
      <c r="O3" s="368" t="s">
        <v>4377</v>
      </c>
      <c r="P3" s="12">
        <f>Ram_2!$H$28</f>
        <v>0</v>
      </c>
      <c r="Q3" s="432">
        <f>IF(Ram_2!$H$28&gt;0,IF(Ram_2!$H$25&lt;&gt;"",1,2),0)</f>
        <v>0</v>
      </c>
      <c r="S3" s="12">
        <f t="shared" ref="S3:S7" si="0">IF(P3&gt;0,1,0)</f>
        <v>0</v>
      </c>
      <c r="X3" s="12" t="s">
        <v>4415</v>
      </c>
      <c r="Y3" s="1" t="s">
        <v>4412</v>
      </c>
    </row>
    <row r="4" spans="2:48" ht="14.25" customHeight="1" outlineLevel="1">
      <c r="I4" s="1"/>
      <c r="O4" s="368" t="s">
        <v>4378</v>
      </c>
      <c r="P4" s="12">
        <f>Ram_3!$H$28</f>
        <v>0</v>
      </c>
      <c r="Q4" s="432">
        <f>IF(Ram_3!$H$28&gt;0,IF(Ram_3!$H$25&lt;&gt;"",1,2),0)</f>
        <v>0</v>
      </c>
      <c r="S4" s="12">
        <f t="shared" si="0"/>
        <v>0</v>
      </c>
      <c r="X4" s="12" t="s">
        <v>4413</v>
      </c>
      <c r="Y4" s="1" t="s">
        <v>4414</v>
      </c>
    </row>
    <row r="5" spans="2:48" ht="14.25" customHeight="1" outlineLevel="1">
      <c r="I5" s="1"/>
      <c r="O5" s="368" t="s">
        <v>4379</v>
      </c>
      <c r="P5" s="12">
        <f>Ram_4!$H$28</f>
        <v>0</v>
      </c>
      <c r="Q5" s="432">
        <f>IF(Ram_4!$H$28&gt;0,IF(Ram_4!$H$25&lt;&gt;"",1,2),0)</f>
        <v>0</v>
      </c>
      <c r="S5" s="12">
        <f t="shared" si="0"/>
        <v>0</v>
      </c>
      <c r="AA5" s="565"/>
      <c r="AB5" s="565"/>
      <c r="AC5" s="565"/>
      <c r="AD5" s="565"/>
      <c r="AE5" s="565"/>
      <c r="AF5" s="565"/>
    </row>
    <row r="6" spans="2:48" ht="14.25" customHeight="1" outlineLevel="2">
      <c r="O6" s="368" t="s">
        <v>4380</v>
      </c>
      <c r="P6" s="12">
        <f>Ram_5!$H$28</f>
        <v>0</v>
      </c>
      <c r="Q6" s="432">
        <f>IF(Ram_5!$H$28&gt;0,IF(Ram_5!$H$25&lt;&gt;"",1,2),0)</f>
        <v>0</v>
      </c>
      <c r="S6" s="12">
        <f t="shared" si="0"/>
        <v>0</v>
      </c>
    </row>
    <row r="7" spans="2:48" ht="14.25" customHeight="1" outlineLevel="2">
      <c r="C7" s="12"/>
      <c r="D7" s="12"/>
      <c r="E7" s="12"/>
      <c r="F7" s="12"/>
      <c r="G7" s="12"/>
      <c r="H7" s="12"/>
      <c r="O7" s="368" t="s">
        <v>4381</v>
      </c>
      <c r="P7" s="12">
        <f>Ram_6!$H$28</f>
        <v>0</v>
      </c>
      <c r="Q7" s="432">
        <f>IF(Ram_6!$H$28&gt;0,IF(Ram_6!$H$25&lt;&gt;"",1,2),0)</f>
        <v>0</v>
      </c>
      <c r="S7" s="12">
        <f t="shared" si="0"/>
        <v>0</v>
      </c>
      <c r="AA7" s="344"/>
      <c r="AB7" s="344"/>
      <c r="AC7" s="344"/>
      <c r="AD7" s="344"/>
      <c r="AE7" s="344"/>
      <c r="AF7" s="344"/>
    </row>
    <row r="8" spans="2:48" ht="14.25" customHeight="1" outlineLevel="2">
      <c r="I8" s="1"/>
      <c r="J8" s="1"/>
      <c r="K8" s="1"/>
      <c r="L8" s="1"/>
      <c r="M8" s="1"/>
      <c r="N8" s="1"/>
      <c r="Q8" s="432"/>
      <c r="R8" s="1"/>
      <c r="S8" s="12">
        <f>SUM(S2:S7)</f>
        <v>0</v>
      </c>
      <c r="T8" s="1">
        <f>SUM(Q2:Q7)</f>
        <v>0</v>
      </c>
      <c r="U8" s="439">
        <f>IF(S8=T8,1,IF(S8=(T8/2),2,0))</f>
        <v>1</v>
      </c>
      <c r="V8" s="440">
        <v>0</v>
      </c>
      <c r="W8" s="12" t="s">
        <v>4410</v>
      </c>
      <c r="X8" s="1"/>
      <c r="AA8" s="344"/>
      <c r="AB8" s="344"/>
      <c r="AC8" s="344"/>
      <c r="AD8" s="344"/>
      <c r="AE8" s="344"/>
      <c r="AF8" s="344"/>
      <c r="AQ8" s="344"/>
      <c r="AR8" s="344"/>
      <c r="AS8" s="344"/>
      <c r="AT8" s="344"/>
      <c r="AU8" s="344"/>
      <c r="AV8" s="344"/>
    </row>
    <row r="9" spans="2:48" ht="15" customHeight="1" outlineLevel="2">
      <c r="C9" s="573"/>
      <c r="Q9" s="432"/>
      <c r="V9" s="440">
        <v>1</v>
      </c>
      <c r="W9" s="12" t="s">
        <v>4408</v>
      </c>
      <c r="AA9" s="344"/>
      <c r="AB9" s="344"/>
      <c r="AC9" s="344"/>
      <c r="AD9" s="344"/>
      <c r="AE9" s="344"/>
      <c r="AF9" s="344"/>
      <c r="AQ9" s="344"/>
      <c r="AR9" s="344"/>
      <c r="AS9" s="344"/>
      <c r="AT9" s="344"/>
      <c r="AU9" s="344"/>
      <c r="AV9" s="344"/>
    </row>
    <row r="10" spans="2:48" ht="15" customHeight="1" outlineLevel="2">
      <c r="C10" s="573"/>
      <c r="Q10" s="432"/>
      <c r="V10" s="440">
        <v>2</v>
      </c>
      <c r="W10" s="12" t="s">
        <v>4409</v>
      </c>
      <c r="AA10" s="344"/>
      <c r="AB10" s="344"/>
      <c r="AC10" s="344"/>
      <c r="AD10" s="344"/>
      <c r="AE10" s="344"/>
      <c r="AF10" s="344"/>
      <c r="AQ10" s="344"/>
      <c r="AR10" s="344"/>
      <c r="AS10" s="344"/>
      <c r="AT10" s="344"/>
      <c r="AU10" s="344"/>
      <c r="AV10" s="344"/>
    </row>
    <row r="11" spans="2:48" ht="14.25" customHeight="1" outlineLevel="2">
      <c r="C11" s="401"/>
      <c r="Q11" s="432"/>
      <c r="Z11" s="404"/>
      <c r="AA11" s="344"/>
      <c r="AB11" s="344"/>
      <c r="AC11" s="344"/>
      <c r="AD11" s="565"/>
      <c r="AE11" s="565"/>
      <c r="AF11" s="565"/>
      <c r="AQ11" s="344"/>
      <c r="AR11" s="344"/>
      <c r="AS11" s="344"/>
      <c r="AT11" s="344"/>
      <c r="AU11" s="344"/>
      <c r="AV11" s="344"/>
    </row>
    <row r="12" spans="2:48" ht="14.25" customHeight="1" outlineLevel="2">
      <c r="C12" s="401"/>
      <c r="Q12" s="432"/>
      <c r="AQ12" s="344"/>
      <c r="AR12" s="344"/>
      <c r="AS12" s="344"/>
      <c r="AT12" s="344"/>
      <c r="AU12" s="344"/>
      <c r="AV12" s="344"/>
    </row>
    <row r="13" spans="2:48" ht="14.25" customHeight="1" outlineLevel="2">
      <c r="Q13" s="432"/>
      <c r="AQ13" s="344"/>
      <c r="AR13" s="344"/>
      <c r="AS13" s="344"/>
      <c r="AT13" s="344"/>
      <c r="AU13" s="344"/>
      <c r="AV13" s="344"/>
    </row>
    <row r="14" spans="2:48" ht="14.25" customHeight="1" outlineLevel="2">
      <c r="B14" s="506"/>
      <c r="I14" s="1"/>
      <c r="J14" s="1"/>
      <c r="K14" s="1"/>
      <c r="L14" s="1"/>
      <c r="M14" s="1"/>
      <c r="N14" s="1"/>
      <c r="O14" s="1"/>
      <c r="Q14" s="432"/>
      <c r="R14" s="1"/>
      <c r="T14" s="1"/>
      <c r="U14" s="1"/>
      <c r="V14" s="1"/>
      <c r="W14" s="1"/>
      <c r="X14" s="1"/>
      <c r="AQ14" s="344"/>
      <c r="AR14" s="344"/>
      <c r="AS14" s="344"/>
      <c r="AT14" s="344"/>
      <c r="AU14" s="344"/>
      <c r="AV14" s="344"/>
    </row>
    <row r="15" spans="2:48" ht="14.25" customHeight="1" outlineLevel="2">
      <c r="B15" s="506"/>
      <c r="I15" s="1"/>
      <c r="J15" s="1"/>
      <c r="K15" s="1"/>
      <c r="L15" s="1"/>
      <c r="M15" s="1"/>
      <c r="N15" s="1"/>
      <c r="O15" s="1"/>
      <c r="Q15" s="432"/>
      <c r="R15" s="1"/>
      <c r="T15" s="1"/>
      <c r="U15" s="1"/>
      <c r="V15" s="1"/>
      <c r="W15" s="1"/>
      <c r="X15" s="1"/>
      <c r="AQ15" s="344"/>
      <c r="AR15" s="344"/>
      <c r="AS15" s="344"/>
      <c r="AT15" s="344"/>
      <c r="AU15" s="344"/>
      <c r="AV15" s="344"/>
    </row>
    <row r="16" spans="2:48" ht="14.25" customHeight="1" outlineLevel="2">
      <c r="B16" s="401"/>
      <c r="I16" s="1"/>
      <c r="J16" s="1"/>
      <c r="K16" s="1"/>
      <c r="L16" s="1"/>
      <c r="M16" s="1"/>
      <c r="N16" s="1"/>
      <c r="O16" s="1"/>
      <c r="Q16" s="432"/>
      <c r="R16" s="1"/>
      <c r="T16" s="1"/>
      <c r="U16" s="1"/>
      <c r="V16" s="1"/>
      <c r="W16" s="1"/>
      <c r="X16" s="1"/>
      <c r="AQ16" s="344"/>
      <c r="AR16" s="344"/>
      <c r="AS16" s="344"/>
      <c r="AT16" s="344"/>
      <c r="AU16" s="344"/>
      <c r="AV16" s="344"/>
    </row>
    <row r="17" spans="1:59" ht="14.25" customHeight="1" outlineLevel="2">
      <c r="I17" s="1"/>
      <c r="J17" s="1"/>
      <c r="K17" s="1"/>
      <c r="L17" s="1"/>
      <c r="M17" s="1"/>
      <c r="N17" s="1"/>
      <c r="O17" s="1"/>
      <c r="Q17" s="432"/>
      <c r="R17" s="1"/>
      <c r="T17" s="1"/>
      <c r="U17" s="1"/>
      <c r="V17" s="1"/>
      <c r="W17" s="1"/>
      <c r="X17" s="1"/>
      <c r="AQ17" s="344"/>
      <c r="AR17" s="344"/>
      <c r="AT17" s="344"/>
      <c r="AU17" s="344"/>
      <c r="AV17" s="344"/>
    </row>
    <row r="18" spans="1:59" ht="14.25" customHeight="1" outlineLevel="2">
      <c r="C18" s="402"/>
      <c r="I18" s="1"/>
      <c r="J18" s="1"/>
      <c r="K18" s="1"/>
      <c r="L18" s="1"/>
      <c r="M18" s="1"/>
      <c r="N18" s="1"/>
      <c r="O18" s="1"/>
      <c r="Q18" s="432"/>
      <c r="R18" s="1"/>
      <c r="T18" s="1"/>
      <c r="U18" s="1"/>
      <c r="V18" s="1"/>
      <c r="W18" s="1"/>
      <c r="X18" s="1"/>
    </row>
    <row r="19" spans="1:59" ht="14.25" customHeight="1" outlineLevel="2">
      <c r="B19" s="323"/>
      <c r="Q19" s="432"/>
    </row>
    <row r="20" spans="1:59" ht="14.25" customHeight="1" outlineLevel="2">
      <c r="I20" s="1"/>
      <c r="J20" s="1"/>
      <c r="K20" s="1"/>
      <c r="L20" s="1"/>
      <c r="M20" s="1"/>
      <c r="N20" s="1"/>
      <c r="O20" s="1"/>
      <c r="Q20" s="432"/>
      <c r="R20" s="1"/>
      <c r="T20" s="1"/>
      <c r="U20" s="1"/>
      <c r="V20" s="1"/>
      <c r="W20" s="1"/>
      <c r="X20" s="1"/>
      <c r="Z20" s="404"/>
    </row>
    <row r="21" spans="1:59" ht="14.25" customHeight="1" outlineLevel="2">
      <c r="I21" s="1"/>
      <c r="J21" s="1"/>
      <c r="K21" s="1"/>
      <c r="L21" s="1"/>
      <c r="M21" s="1"/>
      <c r="N21" s="1"/>
      <c r="O21" s="1"/>
      <c r="Q21" s="432"/>
      <c r="R21" s="1"/>
      <c r="T21" s="1"/>
      <c r="U21" s="1"/>
      <c r="V21" s="1"/>
      <c r="W21" s="1"/>
      <c r="X21" s="1"/>
    </row>
    <row r="22" spans="1:59" ht="14.25" customHeight="1" outlineLevel="2">
      <c r="Q22" s="432"/>
    </row>
    <row r="23" spans="1:59" ht="14.25" customHeight="1" outlineLevel="2">
      <c r="I23" s="1"/>
      <c r="J23" s="1"/>
      <c r="K23" s="1"/>
      <c r="L23" s="1"/>
      <c r="M23" s="1"/>
      <c r="N23" s="1"/>
      <c r="O23" s="1"/>
      <c r="Q23" s="432"/>
      <c r="R23" s="1"/>
      <c r="T23" s="1"/>
      <c r="U23" s="1"/>
      <c r="V23" s="1"/>
      <c r="W23" s="1"/>
      <c r="X23" s="1"/>
    </row>
    <row r="24" spans="1:59" ht="14.25" customHeight="1" outlineLevel="2">
      <c r="I24" s="1"/>
      <c r="J24" s="1"/>
      <c r="K24" s="1"/>
      <c r="L24" s="1"/>
      <c r="M24" s="1"/>
      <c r="N24" s="1"/>
      <c r="O24" s="1"/>
      <c r="Q24" s="432"/>
      <c r="R24" s="1"/>
      <c r="T24" s="1"/>
      <c r="U24" s="1"/>
      <c r="V24" s="1"/>
      <c r="W24" s="1"/>
      <c r="X24" s="1"/>
      <c r="AA24" s="405"/>
    </row>
    <row r="25" spans="1:59" ht="14.25" customHeight="1" outlineLevel="2">
      <c r="I25" s="1"/>
      <c r="J25" s="1"/>
      <c r="K25" s="1"/>
      <c r="L25" s="1"/>
      <c r="M25" s="1"/>
      <c r="N25" s="1"/>
      <c r="O25" s="1"/>
      <c r="Q25" s="432"/>
      <c r="R25" s="1"/>
      <c r="T25" s="1"/>
      <c r="U25" s="1"/>
      <c r="V25" s="1"/>
      <c r="W25" s="1"/>
      <c r="X25" s="1"/>
      <c r="AA25" s="405"/>
    </row>
    <row r="26" spans="1:59" ht="14.25" customHeight="1" outlineLevel="2">
      <c r="I26" s="1"/>
      <c r="J26" s="1"/>
      <c r="K26" s="1"/>
      <c r="L26" s="1"/>
      <c r="M26" s="1"/>
      <c r="N26" s="1"/>
      <c r="O26" s="1"/>
      <c r="Q26" s="432"/>
      <c r="R26" s="1"/>
      <c r="T26" s="1"/>
      <c r="U26" s="1"/>
      <c r="V26" s="1"/>
      <c r="W26" s="1"/>
      <c r="X26" s="1"/>
      <c r="AA26" s="405"/>
    </row>
    <row r="27" spans="1:59" ht="39.75" customHeight="1" outlineLevel="2">
      <c r="I27" s="1"/>
      <c r="J27" s="1"/>
      <c r="K27" s="1"/>
      <c r="L27" s="1"/>
      <c r="M27" s="1"/>
      <c r="N27" s="1"/>
      <c r="O27" s="1"/>
      <c r="Q27" s="432"/>
      <c r="R27" s="1"/>
      <c r="T27" s="1"/>
      <c r="U27" s="1"/>
      <c r="V27" s="1"/>
      <c r="W27" s="1"/>
      <c r="X27" s="1"/>
    </row>
    <row r="28" spans="1:59" ht="45.75" customHeight="1" outlineLevel="1">
      <c r="I28" s="1"/>
      <c r="J28" s="1"/>
      <c r="K28" s="1"/>
      <c r="L28" s="1"/>
      <c r="M28" s="1"/>
      <c r="N28" s="1"/>
      <c r="O28" s="1"/>
      <c r="Q28" s="432"/>
      <c r="R28" s="1"/>
      <c r="T28" s="1"/>
      <c r="U28" s="1"/>
      <c r="V28" s="1"/>
      <c r="W28" s="1">
        <v>70</v>
      </c>
      <c r="X28" s="1"/>
    </row>
    <row r="29" spans="1:59" ht="37.5" customHeight="1">
      <c r="E29" s="393"/>
      <c r="F29" s="393"/>
      <c r="G29" s="393"/>
      <c r="H29" s="394"/>
      <c r="I29" s="394"/>
      <c r="J29" s="394"/>
      <c r="K29" s="1"/>
      <c r="L29" s="1"/>
      <c r="M29" s="1"/>
      <c r="N29" s="1"/>
      <c r="O29" s="1"/>
      <c r="Q29" s="432"/>
      <c r="R29" s="1"/>
      <c r="T29" s="1"/>
      <c r="U29" s="1"/>
      <c r="AQ29" s="393"/>
      <c r="AR29" s="393"/>
      <c r="AS29" s="393"/>
      <c r="AT29" s="394"/>
      <c r="AU29" s="394"/>
      <c r="AV29" s="394"/>
      <c r="BB29" s="393"/>
      <c r="BC29" s="393"/>
      <c r="BD29" s="393"/>
      <c r="BE29" s="394"/>
      <c r="BF29" s="394"/>
      <c r="BG29" s="394"/>
    </row>
    <row r="30" spans="1:59" ht="22.5" customHeight="1">
      <c r="B30" s="245"/>
      <c r="E30" s="344"/>
      <c r="F30" s="344"/>
      <c r="G30" s="344"/>
      <c r="H30" s="344"/>
      <c r="I30" s="344"/>
      <c r="J30" s="344"/>
      <c r="AQ30" s="344"/>
      <c r="AR30" s="344"/>
      <c r="AS30" s="344"/>
      <c r="AT30" s="344"/>
      <c r="AU30" s="344"/>
      <c r="AV30" s="344"/>
      <c r="AY30" s="344"/>
      <c r="BB30" s="344"/>
      <c r="BC30" s="344"/>
      <c r="BD30" s="344"/>
      <c r="BE30" s="344"/>
      <c r="BF30" s="344"/>
      <c r="BG30" s="344"/>
    </row>
    <row r="31" spans="1:59" ht="19.5" customHeight="1" thickBot="1">
      <c r="A31" s="403"/>
      <c r="B31" s="160"/>
      <c r="D31" s="344"/>
      <c r="E31" s="396"/>
      <c r="F31" s="396"/>
      <c r="G31" s="396"/>
      <c r="H31" s="396"/>
      <c r="I31" s="396"/>
      <c r="J31" s="396"/>
      <c r="V31" s="395"/>
      <c r="W31" s="395"/>
      <c r="X31" s="395"/>
      <c r="Y31" s="395"/>
      <c r="Z31" s="395"/>
      <c r="AP31" s="344"/>
      <c r="AQ31" s="396"/>
      <c r="AR31" s="396"/>
      <c r="AS31" s="396"/>
      <c r="AT31" s="396"/>
      <c r="AU31" s="396"/>
      <c r="AV31" s="396"/>
      <c r="BA31" s="344"/>
      <c r="BB31" s="396"/>
      <c r="BC31" s="396"/>
      <c r="BD31" s="396"/>
      <c r="BE31" s="396"/>
      <c r="BF31" s="396"/>
      <c r="BG31" s="396"/>
    </row>
    <row r="32" spans="1:59" ht="18.75" customHeight="1" thickBot="1">
      <c r="A32" s="403"/>
      <c r="B32" s="160"/>
      <c r="D32" s="344"/>
      <c r="E32" s="397"/>
      <c r="F32" s="397"/>
      <c r="G32" s="397"/>
      <c r="H32" s="397"/>
      <c r="I32" s="397"/>
      <c r="J32" s="397"/>
      <c r="M32" s="345"/>
      <c r="N32" s="346"/>
      <c r="O32" s="346"/>
      <c r="P32" s="346"/>
      <c r="Q32" s="346"/>
      <c r="R32" s="346"/>
      <c r="S32" s="346"/>
      <c r="T32" s="346"/>
      <c r="U32" s="346"/>
      <c r="V32" s="346"/>
      <c r="W32" s="346"/>
      <c r="X32" s="347"/>
      <c r="Y32" s="347"/>
      <c r="Z32" s="416" t="s">
        <v>4361</v>
      </c>
      <c r="AA32" s="417">
        <v>800</v>
      </c>
      <c r="AB32" s="417"/>
      <c r="AC32" s="417">
        <v>1400</v>
      </c>
      <c r="AD32" s="417">
        <v>2300</v>
      </c>
      <c r="AE32" s="417">
        <v>2750</v>
      </c>
      <c r="AF32" s="407"/>
      <c r="AG32" s="347"/>
      <c r="AH32" s="347"/>
      <c r="AI32" s="347"/>
      <c r="AJ32" s="348"/>
      <c r="AP32" s="344"/>
      <c r="AQ32" s="397"/>
      <c r="AR32" s="397"/>
      <c r="AS32" s="397"/>
      <c r="AT32" s="397"/>
      <c r="AU32" s="397"/>
      <c r="AV32" s="397"/>
      <c r="AY32" s="160"/>
      <c r="BA32" s="344"/>
      <c r="BB32" s="397"/>
      <c r="BC32" s="397"/>
      <c r="BD32" s="397"/>
      <c r="BE32" s="397"/>
      <c r="BF32" s="397"/>
      <c r="BG32" s="397"/>
    </row>
    <row r="33" spans="2:59" ht="22.5" customHeight="1" thickBot="1">
      <c r="B33" s="344"/>
      <c r="D33" s="344"/>
      <c r="E33" s="344"/>
      <c r="F33" s="344"/>
      <c r="G33" s="344"/>
      <c r="H33" s="344"/>
      <c r="I33" s="344"/>
      <c r="J33" s="344"/>
      <c r="M33" s="415">
        <f>IF(Zakaznik!K23="Dostawa na adres",Hlavní!V39,0)</f>
        <v>0</v>
      </c>
      <c r="N33" s="418" t="str">
        <f>IF(M33=3,"Určeno pro polský trh =&gt; počítá se kalkulace dopravy","Není to určeno pro polský trh =&gt; NEpočítá se kalkulace dopravy" )</f>
        <v>Není to určeno pro polský trh =&gt; NEpočítá se kalkulace dopravy</v>
      </c>
      <c r="O33" s="406"/>
      <c r="P33" s="406"/>
      <c r="Q33" s="406"/>
      <c r="R33" s="406"/>
      <c r="S33" s="406"/>
      <c r="T33" s="406"/>
      <c r="U33" s="406"/>
      <c r="V33" s="406"/>
      <c r="W33" s="406"/>
      <c r="X33" s="407"/>
      <c r="Y33" s="407"/>
      <c r="Z33" s="416" t="s">
        <v>4361</v>
      </c>
      <c r="AA33" s="417">
        <v>800</v>
      </c>
      <c r="AB33" s="417"/>
      <c r="AC33" s="417">
        <v>800</v>
      </c>
      <c r="AD33" s="532">
        <v>750</v>
      </c>
      <c r="AE33" s="788"/>
      <c r="AF33" s="407"/>
      <c r="AG33" s="407"/>
      <c r="AH33" s="407"/>
      <c r="AI33" s="407"/>
      <c r="AJ33" s="350"/>
      <c r="AP33" s="344"/>
      <c r="AQ33" s="344"/>
      <c r="AR33" s="344"/>
      <c r="AS33" s="344"/>
      <c r="AT33" s="344"/>
      <c r="AU33" s="344"/>
      <c r="AV33" s="344"/>
      <c r="BA33" s="344"/>
      <c r="BB33" s="344"/>
      <c r="BC33" s="344"/>
      <c r="BD33" s="344"/>
      <c r="BE33" s="344"/>
      <c r="BF33" s="344"/>
      <c r="BG33" s="344"/>
    </row>
    <row r="34" spans="2:59" ht="14.85" customHeight="1" thickBot="1">
      <c r="D34" s="344"/>
      <c r="E34" s="344"/>
      <c r="F34" s="344"/>
      <c r="G34" s="344"/>
      <c r="H34" s="344"/>
      <c r="I34" s="344"/>
      <c r="J34" s="344"/>
      <c r="M34" s="349"/>
      <c r="N34" s="406"/>
      <c r="O34" s="406"/>
      <c r="P34" s="406"/>
      <c r="Q34" s="406"/>
      <c r="R34" s="406"/>
      <c r="S34" s="406"/>
      <c r="T34" s="406"/>
      <c r="U34" s="406"/>
      <c r="V34" s="406"/>
      <c r="W34" s="406"/>
      <c r="X34" s="407"/>
      <c r="Y34" s="407"/>
      <c r="Z34" s="407"/>
      <c r="AA34" s="407"/>
      <c r="AB34" s="407"/>
      <c r="AC34" s="407"/>
      <c r="AD34" s="407"/>
      <c r="AE34" s="407"/>
      <c r="AF34" s="407"/>
      <c r="AG34" s="407"/>
      <c r="AH34" s="407"/>
      <c r="AI34" s="407"/>
      <c r="AJ34" s="350"/>
      <c r="AP34" s="344"/>
      <c r="AQ34" s="344"/>
      <c r="AR34" s="344"/>
      <c r="AS34" s="344"/>
      <c r="AT34" s="344"/>
      <c r="AU34" s="344"/>
      <c r="AV34" s="344"/>
      <c r="BA34" s="344"/>
      <c r="BB34" s="344"/>
      <c r="BC34" s="344"/>
      <c r="BD34" s="344"/>
      <c r="BE34" s="344"/>
      <c r="BF34" s="344"/>
      <c r="BG34" s="344"/>
    </row>
    <row r="35" spans="2:59" ht="14.85" customHeight="1">
      <c r="D35" s="344"/>
      <c r="E35" s="396"/>
      <c r="F35" s="396"/>
      <c r="G35" s="396"/>
      <c r="H35" s="344"/>
      <c r="I35" s="344"/>
      <c r="J35" s="344"/>
      <c r="M35" s="349"/>
      <c r="N35" s="406"/>
      <c r="O35" s="406"/>
      <c r="P35" s="406"/>
      <c r="Q35" s="406"/>
      <c r="R35" s="406"/>
      <c r="S35" s="406"/>
      <c r="T35" s="406"/>
      <c r="U35" s="406"/>
      <c r="V35" s="406"/>
      <c r="W35" s="407"/>
      <c r="X35" s="406"/>
      <c r="Y35" s="407"/>
      <c r="Z35" s="351" t="s">
        <v>4362</v>
      </c>
      <c r="AA35" s="407"/>
      <c r="AB35" s="407"/>
      <c r="AC35" s="407"/>
      <c r="AD35" s="407"/>
      <c r="AE35" s="407"/>
      <c r="AF35" s="407"/>
      <c r="AG35" s="407"/>
      <c r="AH35" s="407"/>
      <c r="AI35" s="407"/>
      <c r="AJ35" s="350"/>
      <c r="AP35" s="344"/>
      <c r="AQ35" s="396"/>
      <c r="AR35" s="396"/>
      <c r="AS35" s="396"/>
      <c r="AT35" s="344"/>
      <c r="AU35" s="344"/>
      <c r="AV35" s="344"/>
      <c r="AY35" s="398"/>
      <c r="BA35" s="344"/>
      <c r="BB35" s="396"/>
      <c r="BC35" s="396"/>
      <c r="BD35" s="396"/>
      <c r="BE35" s="344"/>
      <c r="BF35" s="344"/>
      <c r="BG35" s="344"/>
    </row>
    <row r="36" spans="2:59" ht="30.75" customHeight="1" thickBot="1">
      <c r="D36" s="344"/>
      <c r="E36" s="397"/>
      <c r="F36" s="397"/>
      <c r="G36" s="397"/>
      <c r="H36" s="397"/>
      <c r="I36" s="397"/>
      <c r="J36" s="397"/>
      <c r="M36" s="349"/>
      <c r="N36" s="406"/>
      <c r="O36" s="406"/>
      <c r="P36" s="406"/>
      <c r="Q36" s="406"/>
      <c r="R36" s="406"/>
      <c r="S36" s="406"/>
      <c r="T36" s="406"/>
      <c r="U36" s="406"/>
      <c r="V36" s="406"/>
      <c r="W36" s="406"/>
      <c r="X36" s="406"/>
      <c r="Y36" s="407"/>
      <c r="Z36" s="352">
        <f>W40</f>
        <v>0</v>
      </c>
      <c r="AA36" s="407"/>
      <c r="AB36" s="407"/>
      <c r="AC36" s="407"/>
      <c r="AD36" s="407"/>
      <c r="AE36" s="407"/>
      <c r="AF36" s="407"/>
      <c r="AG36" s="407"/>
      <c r="AH36" s="407"/>
      <c r="AI36" s="407"/>
      <c r="AJ36" s="350"/>
      <c r="AP36" s="344"/>
      <c r="AQ36" s="397"/>
      <c r="AR36" s="397"/>
      <c r="AS36" s="397"/>
      <c r="AT36" s="397"/>
      <c r="AU36" s="397"/>
      <c r="AV36" s="397"/>
      <c r="AY36" s="398"/>
      <c r="BA36" s="344"/>
      <c r="BB36" s="397"/>
      <c r="BC36" s="397"/>
      <c r="BD36" s="397"/>
      <c r="BE36" s="397"/>
      <c r="BF36" s="397"/>
      <c r="BG36" s="397"/>
    </row>
    <row r="37" spans="2:59" ht="14.85" customHeight="1">
      <c r="E37" s="344"/>
      <c r="F37" s="344"/>
      <c r="G37" s="344"/>
      <c r="H37" s="397"/>
      <c r="I37" s="397"/>
      <c r="J37" s="397"/>
      <c r="M37" s="349"/>
      <c r="N37" s="406"/>
      <c r="O37" s="406"/>
      <c r="P37" s="406"/>
      <c r="Q37" s="406"/>
      <c r="R37" s="406"/>
      <c r="S37" s="406"/>
      <c r="T37" s="406"/>
      <c r="U37" s="406"/>
      <c r="V37" s="406"/>
      <c r="W37" s="406"/>
      <c r="X37" s="406"/>
      <c r="Y37" s="407"/>
      <c r="Z37" s="407"/>
      <c r="AA37" s="408"/>
      <c r="AB37" s="408"/>
      <c r="AC37" s="408"/>
      <c r="AD37" s="408"/>
      <c r="AE37" s="408"/>
      <c r="AF37" s="408"/>
      <c r="AG37" s="407"/>
      <c r="AH37" s="407"/>
      <c r="AI37" s="407"/>
      <c r="AJ37" s="350"/>
      <c r="AQ37" s="344"/>
      <c r="AR37" s="344"/>
      <c r="AS37" s="344"/>
      <c r="AT37" s="397"/>
      <c r="AU37" s="397"/>
      <c r="AV37" s="397"/>
      <c r="BB37" s="344"/>
      <c r="BC37" s="344"/>
      <c r="BD37" s="344"/>
      <c r="BE37" s="397"/>
      <c r="BF37" s="397"/>
      <c r="BG37" s="397"/>
    </row>
    <row r="38" spans="2:59" ht="14.85" customHeight="1">
      <c r="D38" s="344"/>
      <c r="E38" s="344"/>
      <c r="F38" s="344"/>
      <c r="G38" s="344"/>
      <c r="H38" s="344"/>
      <c r="I38" s="344"/>
      <c r="J38" s="344"/>
      <c r="M38" s="349"/>
      <c r="N38" s="406"/>
      <c r="O38" s="406"/>
      <c r="P38" s="406"/>
      <c r="Q38" s="406"/>
      <c r="R38" s="406"/>
      <c r="S38" s="406"/>
      <c r="T38" s="406"/>
      <c r="U38" s="406"/>
      <c r="V38" s="406"/>
      <c r="W38" s="407"/>
      <c r="X38" s="406"/>
      <c r="Y38" s="407"/>
      <c r="Z38" s="416" t="s">
        <v>4363</v>
      </c>
      <c r="AA38" s="417">
        <v>35</v>
      </c>
      <c r="AB38" s="417"/>
      <c r="AC38" s="417">
        <v>35</v>
      </c>
      <c r="AD38" s="417">
        <v>288</v>
      </c>
      <c r="AE38" s="417">
        <v>332</v>
      </c>
      <c r="AF38" s="417"/>
      <c r="AG38" s="407"/>
      <c r="AH38" s="407"/>
      <c r="AI38" s="407"/>
      <c r="AJ38" s="350"/>
      <c r="AP38" s="344"/>
      <c r="AQ38" s="344"/>
      <c r="AR38" s="344"/>
      <c r="AS38" s="344"/>
      <c r="AT38" s="344"/>
      <c r="AU38" s="344"/>
      <c r="AV38" s="344"/>
      <c r="BA38" s="344"/>
      <c r="BB38" s="344"/>
      <c r="BC38" s="344"/>
      <c r="BD38" s="344"/>
      <c r="BE38" s="344"/>
      <c r="BF38" s="344"/>
      <c r="BG38" s="344"/>
    </row>
    <row r="39" spans="2:59" ht="18.75">
      <c r="D39" s="344"/>
      <c r="E39" s="399"/>
      <c r="F39" s="399"/>
      <c r="G39" s="399"/>
      <c r="H39" s="399"/>
      <c r="I39" s="399"/>
      <c r="J39" s="399"/>
      <c r="M39" s="349"/>
      <c r="N39" s="406"/>
      <c r="O39" s="406"/>
      <c r="P39" s="406"/>
      <c r="Q39" s="406"/>
      <c r="R39" s="406"/>
      <c r="S39" s="406"/>
      <c r="T39" s="406"/>
      <c r="U39" s="406"/>
      <c r="V39" s="406"/>
      <c r="W39" s="353">
        <f>W40-20</f>
        <v>-20</v>
      </c>
      <c r="X39" s="354" t="str">
        <f>IF(W39&gt;0,"přebývá!","")</f>
        <v/>
      </c>
      <c r="Y39" s="407"/>
      <c r="Z39" s="355"/>
      <c r="AA39" s="356" t="s">
        <v>4364</v>
      </c>
      <c r="AB39" s="356"/>
      <c r="AC39" s="356" t="s">
        <v>4365</v>
      </c>
      <c r="AD39" s="357" t="s">
        <v>4366</v>
      </c>
      <c r="AE39" s="357" t="s">
        <v>4367</v>
      </c>
      <c r="AF39" s="358"/>
      <c r="AG39" s="407"/>
      <c r="AH39" s="407"/>
      <c r="AI39" s="407"/>
      <c r="AJ39" s="350"/>
      <c r="AP39" s="344"/>
      <c r="AQ39" s="399"/>
      <c r="AR39" s="399"/>
      <c r="AS39" s="399"/>
      <c r="AT39" s="399"/>
      <c r="AU39" s="399"/>
      <c r="AV39" s="399"/>
      <c r="BA39" s="344"/>
      <c r="BB39" s="399"/>
      <c r="BC39" s="399"/>
      <c r="BD39" s="399"/>
      <c r="BE39" s="399"/>
      <c r="BF39" s="399"/>
      <c r="BG39" s="399"/>
    </row>
    <row r="40" spans="2:59" ht="31.5" customHeight="1">
      <c r="D40" s="344"/>
      <c r="E40" s="344"/>
      <c r="F40" s="344"/>
      <c r="G40" s="344"/>
      <c r="H40" s="344"/>
      <c r="I40" s="344"/>
      <c r="J40" s="344"/>
      <c r="M40" s="349"/>
      <c r="N40" s="406"/>
      <c r="O40" s="406"/>
      <c r="P40" s="406"/>
      <c r="Q40" s="406"/>
      <c r="R40" s="406"/>
      <c r="S40" s="406"/>
      <c r="T40" s="406"/>
      <c r="U40" s="406"/>
      <c r="V40" s="406"/>
      <c r="W40" s="359">
        <f>SUM(W42:W47)</f>
        <v>0</v>
      </c>
      <c r="X40" s="353" t="s">
        <v>4368</v>
      </c>
      <c r="Y40" s="407"/>
      <c r="Z40" s="360" t="s">
        <v>4369</v>
      </c>
      <c r="AA40" s="361">
        <v>3</v>
      </c>
      <c r="AB40" s="361"/>
      <c r="AC40" s="361">
        <v>2</v>
      </c>
      <c r="AD40" s="361">
        <v>20</v>
      </c>
      <c r="AE40" s="361">
        <v>20</v>
      </c>
      <c r="AF40" s="362"/>
      <c r="AG40" s="407"/>
      <c r="AH40" s="407"/>
      <c r="AI40" s="407"/>
      <c r="AJ40" s="350"/>
      <c r="AP40" s="344"/>
      <c r="AQ40" s="344"/>
      <c r="AR40" s="344"/>
      <c r="AS40" s="344"/>
      <c r="AT40" s="344"/>
      <c r="AU40" s="344"/>
      <c r="AV40" s="344"/>
      <c r="BA40" s="344"/>
      <c r="BB40" s="344"/>
      <c r="BC40" s="344"/>
      <c r="BD40" s="344"/>
      <c r="BE40" s="344"/>
      <c r="BF40" s="344"/>
      <c r="BG40" s="344"/>
    </row>
    <row r="41" spans="2:59" ht="45">
      <c r="E41" s="344"/>
      <c r="F41" s="344"/>
      <c r="G41" s="344"/>
      <c r="H41" s="344"/>
      <c r="I41" s="344"/>
      <c r="J41" s="344"/>
      <c r="M41" s="349" t="s">
        <v>4370</v>
      </c>
      <c r="N41" s="406"/>
      <c r="O41" s="406"/>
      <c r="P41" s="406"/>
      <c r="Q41" s="406"/>
      <c r="R41" s="406"/>
      <c r="S41" s="419" t="s">
        <v>4371</v>
      </c>
      <c r="T41" s="419" t="s">
        <v>4372</v>
      </c>
      <c r="U41" s="409" t="s">
        <v>4373</v>
      </c>
      <c r="V41" s="406"/>
      <c r="W41" s="359" t="s">
        <v>4374</v>
      </c>
      <c r="X41" s="363" t="s">
        <v>4375</v>
      </c>
      <c r="Y41" s="364" t="s">
        <v>4375</v>
      </c>
      <c r="Z41" s="365"/>
      <c r="AA41" s="366"/>
      <c r="AB41" s="366"/>
      <c r="AC41" s="366"/>
      <c r="AD41" s="366"/>
      <c r="AE41" s="366"/>
      <c r="AF41" s="367"/>
      <c r="AG41" s="407"/>
      <c r="AH41" s="407"/>
      <c r="AI41" s="407"/>
      <c r="AJ41" s="350"/>
      <c r="AL41" s="1">
        <f>SUMIFS(W42:W47,V42:V47,"paleta")</f>
        <v>0</v>
      </c>
      <c r="AQ41" s="344"/>
      <c r="AR41" s="344"/>
      <c r="AS41" s="344"/>
      <c r="AT41" s="344"/>
      <c r="AU41" s="344"/>
      <c r="AV41" s="344"/>
      <c r="BB41" s="344"/>
      <c r="BC41" s="344"/>
      <c r="BD41" s="344"/>
      <c r="BE41" s="344"/>
      <c r="BF41" s="344"/>
      <c r="BG41" s="344"/>
    </row>
    <row r="42" spans="2:59" ht="18.75">
      <c r="E42" s="344"/>
      <c r="F42" s="344"/>
      <c r="G42" s="344"/>
      <c r="H42" s="344"/>
      <c r="I42" s="344"/>
      <c r="J42" s="344"/>
      <c r="M42" s="368" t="s">
        <v>4376</v>
      </c>
      <c r="N42" s="369" t="str">
        <f>IF(AND(IF($T42&lt;=AA$33,"balík A","ne")="balík A",IF($S42&lt;=AA$32,"balík A","ne")="balík A",$AA$39="balík A"),"balík A","ne")</f>
        <v>balík A</v>
      </c>
      <c r="O42" s="369" t="str">
        <f>IF(AND(IF($T42&lt;=AC$33,"balík B","ne")="balík B",IF($S42&lt;=AC$32,"balík B","ne")="balík B",$AC$39="balík B"),"balík B","ne")</f>
        <v>balík B</v>
      </c>
      <c r="P42" s="369" t="str">
        <f>IF(AND(T42&lt;=$AD$33,$S42&lt;=AD$32),"paleta A","ne")</f>
        <v>paleta A</v>
      </c>
      <c r="Q42" s="369" t="str">
        <f>IF(AND(T42&lt;=$AD$33,$S42&lt;=AE$32),"paleta B","ne")</f>
        <v>paleta B</v>
      </c>
      <c r="R42" s="369"/>
      <c r="S42" s="359">
        <f>MAX(X42:Y42)</f>
        <v>0</v>
      </c>
      <c r="T42" s="359">
        <f>MIN(X42:Y42)</f>
        <v>0</v>
      </c>
      <c r="U42" s="370" t="str">
        <f t="shared" ref="U42:U47" si="1">IF(N42&lt;&gt;"ne",N42,IF(O42&lt;&gt;"NE",O42,IF(P42&lt;&gt;"NE",P42,IF(Q42&lt;&gt;"NE",Q42,"ne"))))</f>
        <v>balík A</v>
      </c>
      <c r="V42" s="371" t="str">
        <f>_xlfn.TEXTBEFORE(U42," ")</f>
        <v>balík</v>
      </c>
      <c r="W42" s="372">
        <f>Ram_1!$H$28</f>
        <v>0</v>
      </c>
      <c r="X42" s="373">
        <f>Ram_1!AI30</f>
        <v>0</v>
      </c>
      <c r="Y42" s="374">
        <f>Ram_1!AR14</f>
        <v>0</v>
      </c>
      <c r="Z42" s="375" t="s">
        <v>4376</v>
      </c>
      <c r="AA42" s="361">
        <f>IF(M33&lt;&gt;3,0,IFERROR((IF(HLOOKUP(AA$39,$N42:$Q42,1,0)=AA$39,$W42,0)),0))</f>
        <v>0</v>
      </c>
      <c r="AB42" s="361">
        <f>IFERROR((IF(HLOOKUP(AB$39,$N42:$R42,1,0)=AB$39,$W42,0)),0)</f>
        <v>0</v>
      </c>
      <c r="AC42" s="361">
        <f>IF(M33&lt;&gt;3,0,IFERROR((IF(HLOOKUP(AC$39,$N42:$Q42,1,0)=AC$39,W42,0)),0))</f>
        <v>0</v>
      </c>
      <c r="AD42" s="361">
        <f>IF(M33&lt;&gt;3,0,IFERROR((IF(HLOOKUP(AD$39,$N42:$Q42,1,0)=AD$39,W42,0)),0))</f>
        <v>0</v>
      </c>
      <c r="AE42" s="361">
        <f>IF(M33&lt;&gt;3,0,IFERROR((IF(HLOOKUP(AE$39,$N42:$Q42,1,0)=AE$39,W42,0)),0))</f>
        <v>0</v>
      </c>
      <c r="AF42" s="362"/>
      <c r="AG42" s="407"/>
      <c r="AH42" s="407"/>
      <c r="AI42" s="407"/>
      <c r="AJ42" s="350"/>
      <c r="AQ42" s="344"/>
      <c r="AR42" s="344"/>
      <c r="AS42" s="344"/>
      <c r="AT42" s="344"/>
      <c r="AU42" s="344"/>
      <c r="AV42" s="344"/>
      <c r="BB42" s="344"/>
      <c r="BC42" s="344"/>
      <c r="BD42" s="344"/>
      <c r="BE42" s="344"/>
      <c r="BF42" s="344"/>
      <c r="BG42" s="344"/>
    </row>
    <row r="43" spans="2:59" ht="18.75">
      <c r="E43" s="344"/>
      <c r="F43" s="344"/>
      <c r="G43" s="344"/>
      <c r="H43" s="344"/>
      <c r="I43" s="344"/>
      <c r="J43" s="344"/>
      <c r="M43" s="368" t="s">
        <v>4377</v>
      </c>
      <c r="N43" s="369" t="str">
        <f t="shared" ref="N43:N46" si="2">IF(AND(IF($T43&lt;=AA$33,"balík A","ne")="balík A",IF($S43&lt;=AA$32,"balík A","ne")="balík A",$AA$39="balík A"),"balík A","ne")</f>
        <v>balík A</v>
      </c>
      <c r="O43" s="369" t="str">
        <f t="shared" ref="O43:O47" si="3">IF(AND(IF($T43&lt;=AC$33,"balík B","ne")="balík B",IF($S43&lt;=AC$32,"balík B","ne")="balík B",$AC$39="balík B"),"balík B","ne")</f>
        <v>balík B</v>
      </c>
      <c r="P43" s="369" t="str">
        <f t="shared" ref="P43:P47" si="4">IF(AND(T43&lt;=$AD$33,$S43&lt;=AD$32),"paleta A","ne")</f>
        <v>paleta A</v>
      </c>
      <c r="Q43" s="369" t="str">
        <f t="shared" ref="Q43:Q47" si="5">IF(AND(T43&lt;=$AD$33,$S43&lt;=AE$32),"paleta B","ne")</f>
        <v>paleta B</v>
      </c>
      <c r="R43" s="369"/>
      <c r="S43" s="359">
        <f>MAX(X43:Y43)</f>
        <v>0</v>
      </c>
      <c r="T43" s="359">
        <f t="shared" ref="T43:T46" si="6">MIN(X43:Y43)</f>
        <v>0</v>
      </c>
      <c r="U43" s="370" t="str">
        <f t="shared" si="1"/>
        <v>balík A</v>
      </c>
      <c r="V43" s="371" t="str">
        <f t="shared" ref="V43:V47" si="7">_xlfn.TEXTBEFORE(U43," ")</f>
        <v>balík</v>
      </c>
      <c r="W43" s="372">
        <f>Ram_2!$H$28</f>
        <v>0</v>
      </c>
      <c r="X43" s="373">
        <f>Ram_2!AI30</f>
        <v>0</v>
      </c>
      <c r="Y43" s="374">
        <f>Ram_2!AR14</f>
        <v>0</v>
      </c>
      <c r="Z43" s="375" t="s">
        <v>4377</v>
      </c>
      <c r="AA43" s="361">
        <f>IF(M33&lt;&gt;3,0,IFERROR((IF(HLOOKUP(AA$39,$N43:$Q43,1,0)=AA$39,$W43,0)),0))</f>
        <v>0</v>
      </c>
      <c r="AB43" s="361"/>
      <c r="AC43" s="361">
        <f>IF(M33&lt;&gt;3,0,IFERROR((IF(HLOOKUP(AC$39,$N43:$Q43,1,0)=AC$39,W43,0)),0))</f>
        <v>0</v>
      </c>
      <c r="AD43" s="361">
        <f>IF(M33&lt;&gt;3,0,IFERROR((IF(HLOOKUP(AD$39,$N43:$Q43,1,0)=AD$39,W43,0)),0))</f>
        <v>0</v>
      </c>
      <c r="AE43" s="361">
        <f>IF(M33&lt;&gt;3,0,IFERROR((IF(HLOOKUP(AE$39,$N43:$Q43,1,0)=AE$39,W43,0)),0))</f>
        <v>0</v>
      </c>
      <c r="AF43" s="362"/>
      <c r="AG43" s="407"/>
      <c r="AH43" s="407"/>
      <c r="AI43" s="407"/>
      <c r="AJ43" s="350"/>
      <c r="AR43" s="344"/>
      <c r="AS43" s="344"/>
      <c r="AT43" s="344"/>
      <c r="AU43" s="344"/>
      <c r="BB43" s="344"/>
      <c r="BC43" s="344"/>
      <c r="BD43" s="344"/>
      <c r="BE43" s="344"/>
      <c r="BF43" s="344"/>
      <c r="BG43" s="344"/>
    </row>
    <row r="44" spans="2:59" ht="18.75">
      <c r="E44" s="344"/>
      <c r="F44" s="344"/>
      <c r="G44" s="344"/>
      <c r="H44" s="344"/>
      <c r="I44" s="344"/>
      <c r="J44" s="344"/>
      <c r="M44" s="368" t="s">
        <v>4378</v>
      </c>
      <c r="N44" s="369" t="str">
        <f t="shared" si="2"/>
        <v>balík A</v>
      </c>
      <c r="O44" s="369" t="str">
        <f t="shared" si="3"/>
        <v>balík B</v>
      </c>
      <c r="P44" s="369" t="str">
        <f t="shared" si="4"/>
        <v>paleta A</v>
      </c>
      <c r="Q44" s="369" t="str">
        <f t="shared" si="5"/>
        <v>paleta B</v>
      </c>
      <c r="R44" s="369"/>
      <c r="S44" s="359">
        <f t="shared" ref="S44:S46" si="8">MAX(X44:Y44)</f>
        <v>0</v>
      </c>
      <c r="T44" s="359">
        <f>MIN(X44:Y44)</f>
        <v>0</v>
      </c>
      <c r="U44" s="370" t="str">
        <f t="shared" si="1"/>
        <v>balík A</v>
      </c>
      <c r="V44" s="371" t="str">
        <f t="shared" si="7"/>
        <v>balík</v>
      </c>
      <c r="W44" s="372">
        <f>Ram_3!H28</f>
        <v>0</v>
      </c>
      <c r="X44" s="373">
        <f>Ram_3!AI30</f>
        <v>0</v>
      </c>
      <c r="Y44" s="374">
        <f>Ram_3!AR14</f>
        <v>0</v>
      </c>
      <c r="Z44" s="375" t="s">
        <v>4378</v>
      </c>
      <c r="AA44" s="361">
        <f>IF(M33&lt;&gt;3,0,IFERROR((IF(HLOOKUP(AA$39,$N44:$Q44,1,0)=AA$39,$W44,0)),0))</f>
        <v>0</v>
      </c>
      <c r="AB44" s="361"/>
      <c r="AC44" s="361">
        <f>IF(M33&lt;&gt;3,0,IFERROR((IF(HLOOKUP(AC$39,$N44:$Q44,1,0)=AC$39,W44,0)),0))</f>
        <v>0</v>
      </c>
      <c r="AD44" s="361">
        <f>IF(M33&lt;&gt;3,0,IFERROR((IF(HLOOKUP(AD$39,$N44:$Q44,1,0)=AD$39,W44,0)),0))</f>
        <v>0</v>
      </c>
      <c r="AE44" s="361">
        <f>IF(M33&lt;&gt;3,0,IFERROR((IF(HLOOKUP(AE$39,$N44:$Q44,1,0)=AE$39,W44,0)),0))</f>
        <v>0</v>
      </c>
      <c r="AF44" s="362"/>
      <c r="AG44" s="407"/>
      <c r="AH44" s="407"/>
      <c r="AI44" s="407"/>
      <c r="AJ44" s="350"/>
      <c r="AQ44" s="344"/>
      <c r="AR44" s="344"/>
      <c r="AS44" s="344"/>
      <c r="AT44" s="344"/>
      <c r="AU44" s="344"/>
      <c r="AV44" s="344"/>
      <c r="BB44" s="344"/>
      <c r="BC44" s="344"/>
      <c r="BD44" s="344"/>
      <c r="BE44" s="344"/>
      <c r="BF44" s="344"/>
      <c r="BG44" s="344"/>
    </row>
    <row r="45" spans="2:59" ht="18.75">
      <c r="E45" s="344"/>
      <c r="F45" s="344"/>
      <c r="G45" s="344"/>
      <c r="H45" s="344"/>
      <c r="I45" s="344"/>
      <c r="J45" s="344"/>
      <c r="M45" s="368" t="s">
        <v>4379</v>
      </c>
      <c r="N45" s="369" t="str">
        <f t="shared" si="2"/>
        <v>balík A</v>
      </c>
      <c r="O45" s="369" t="str">
        <f t="shared" si="3"/>
        <v>balík B</v>
      </c>
      <c r="P45" s="369" t="str">
        <f t="shared" si="4"/>
        <v>paleta A</v>
      </c>
      <c r="Q45" s="369" t="str">
        <f t="shared" si="5"/>
        <v>paleta B</v>
      </c>
      <c r="R45" s="369"/>
      <c r="S45" s="359">
        <f t="shared" si="8"/>
        <v>0</v>
      </c>
      <c r="T45" s="359">
        <f t="shared" si="6"/>
        <v>0</v>
      </c>
      <c r="U45" s="370" t="str">
        <f t="shared" si="1"/>
        <v>balík A</v>
      </c>
      <c r="V45" s="371" t="str">
        <f t="shared" si="7"/>
        <v>balík</v>
      </c>
      <c r="W45" s="372">
        <f>Ram_4!H28</f>
        <v>0</v>
      </c>
      <c r="X45" s="373">
        <f>Ram_4!AI30</f>
        <v>0</v>
      </c>
      <c r="Y45" s="374">
        <f>Ram_4!AR14</f>
        <v>0</v>
      </c>
      <c r="Z45" s="375" t="s">
        <v>4379</v>
      </c>
      <c r="AA45" s="361">
        <f>IF(M33&lt;&gt;3,0,IFERROR((IF(HLOOKUP(AA$39,$N45:$Q45,1,0)=AA$39,$W45,0)),0))</f>
        <v>0</v>
      </c>
      <c r="AB45" s="361"/>
      <c r="AC45" s="361">
        <f>IF(M33&lt;&gt;3,0,IFERROR((IF(HLOOKUP(AC$39,$N45:$Q45,1,0)=AC$39,W45,0)),0))</f>
        <v>0</v>
      </c>
      <c r="AD45" s="361">
        <f>IF(M33&lt;&gt;3,0,IFERROR((IF(HLOOKUP(AD$39,$N45:$Q45,1,0)=AD$39,W45,0)),0))</f>
        <v>0</v>
      </c>
      <c r="AE45" s="361">
        <f>IF(M33&lt;&gt;3,0,IFERROR((IF(HLOOKUP(AE$39,$N45:$Q45,1,0)=AE$39,W45,0)),0))</f>
        <v>0</v>
      </c>
      <c r="AF45" s="362"/>
      <c r="AG45" s="407"/>
      <c r="AH45" s="407"/>
      <c r="AI45" s="407"/>
      <c r="AJ45" s="350"/>
      <c r="AQ45" s="344"/>
      <c r="AR45" s="344"/>
      <c r="AS45" s="344"/>
      <c r="AT45" s="344"/>
      <c r="AU45" s="344"/>
      <c r="AV45" s="344"/>
      <c r="BB45" s="344"/>
      <c r="BC45" s="344"/>
      <c r="BD45" s="344"/>
      <c r="BE45" s="344"/>
      <c r="BF45" s="344"/>
      <c r="BG45" s="344"/>
    </row>
    <row r="46" spans="2:59" ht="18.75">
      <c r="E46" s="344"/>
      <c r="F46" s="344"/>
      <c r="G46" s="344"/>
      <c r="H46" s="344"/>
      <c r="I46" s="344"/>
      <c r="J46" s="344"/>
      <c r="M46" s="368" t="s">
        <v>4380</v>
      </c>
      <c r="N46" s="369" t="str">
        <f t="shared" si="2"/>
        <v>balík A</v>
      </c>
      <c r="O46" s="369" t="str">
        <f>IF(AND(IF($T46&lt;=AC$33,"balík B","ne")="balík B",IF($S46&lt;=AC$32,"balík B","ne")="balík B",$AC$39="balík B"),"balík B","ne")</f>
        <v>balík B</v>
      </c>
      <c r="P46" s="369" t="str">
        <f t="shared" si="4"/>
        <v>paleta A</v>
      </c>
      <c r="Q46" s="369" t="str">
        <f t="shared" si="5"/>
        <v>paleta B</v>
      </c>
      <c r="R46" s="369"/>
      <c r="S46" s="359">
        <f t="shared" si="8"/>
        <v>0</v>
      </c>
      <c r="T46" s="359">
        <f t="shared" si="6"/>
        <v>0</v>
      </c>
      <c r="U46" s="370" t="str">
        <f t="shared" si="1"/>
        <v>balík A</v>
      </c>
      <c r="V46" s="371" t="str">
        <f t="shared" si="7"/>
        <v>balík</v>
      </c>
      <c r="W46" s="372">
        <f>Ram_5!H28</f>
        <v>0</v>
      </c>
      <c r="X46" s="373">
        <f>Ram_5!AI30</f>
        <v>0</v>
      </c>
      <c r="Y46" s="374">
        <f>Ram_5!AR14</f>
        <v>0</v>
      </c>
      <c r="Z46" s="375" t="s">
        <v>4380</v>
      </c>
      <c r="AA46" s="361">
        <f>IF(M33&lt;&gt;3,0,IFERROR((IF(HLOOKUP(AA$39,$N46:$Q46,1,0)=AA$39,$W46,0)),0))</f>
        <v>0</v>
      </c>
      <c r="AB46" s="361"/>
      <c r="AC46" s="361">
        <f>IF(M33&lt;&gt;3,0,IFERROR((IF(HLOOKUP(AC$39,$N46:$Q46,1,0)=AC$39,W46,0)),0))</f>
        <v>0</v>
      </c>
      <c r="AD46" s="361">
        <f>IF(M33&lt;&gt;3,0,IFERROR((IF(HLOOKUP(AD$39,$N46:$Q46,1,0)=AD$39,W46,0)),0))</f>
        <v>0</v>
      </c>
      <c r="AE46" s="361">
        <f>IF(M33&lt;&gt;3,0,IFERROR((IF(HLOOKUP(AE$39,$N46:$Q46,1,0)=AE$39,W46,0)),0))</f>
        <v>0</v>
      </c>
      <c r="AF46" s="362"/>
      <c r="AG46" s="407"/>
      <c r="AH46" s="407"/>
      <c r="AI46" s="407"/>
      <c r="AJ46" s="350"/>
      <c r="AQ46" s="344"/>
      <c r="AR46" s="344"/>
      <c r="AS46" s="344"/>
      <c r="AT46" s="344"/>
      <c r="AU46" s="344"/>
      <c r="AV46" s="344"/>
      <c r="BB46" s="344"/>
      <c r="BC46" s="344"/>
      <c r="BD46" s="344"/>
      <c r="BE46" s="344"/>
      <c r="BF46" s="344"/>
      <c r="BG46" s="344"/>
    </row>
    <row r="47" spans="2:59" ht="19.5" outlineLevel="1" thickBot="1">
      <c r="E47" s="344"/>
      <c r="F47" s="344"/>
      <c r="G47" s="344"/>
      <c r="H47" s="344"/>
      <c r="I47" s="344"/>
      <c r="J47" s="344"/>
      <c r="M47" s="368" t="s">
        <v>4381</v>
      </c>
      <c r="N47" s="369" t="str">
        <f>IF(AND(IF($T47&lt;=AA$33,"balík A","ne")="balík A",IF($S47&lt;=AA$32,"balík A","ne")="balík A",$AA$39="balík A"),"balík A","ne")</f>
        <v>balík A</v>
      </c>
      <c r="O47" s="369" t="str">
        <f t="shared" si="3"/>
        <v>balík B</v>
      </c>
      <c r="P47" s="369" t="str">
        <f t="shared" si="4"/>
        <v>paleta A</v>
      </c>
      <c r="Q47" s="369" t="str">
        <f t="shared" si="5"/>
        <v>paleta B</v>
      </c>
      <c r="R47" s="369"/>
      <c r="S47" s="359">
        <f>MAX(X47:Y47)</f>
        <v>0</v>
      </c>
      <c r="T47" s="359">
        <f>MIN(X47:Y47)</f>
        <v>0</v>
      </c>
      <c r="U47" s="370" t="str">
        <f t="shared" si="1"/>
        <v>balík A</v>
      </c>
      <c r="V47" s="371" t="str">
        <f t="shared" si="7"/>
        <v>balík</v>
      </c>
      <c r="W47" s="372">
        <f>Ram_6!H28</f>
        <v>0</v>
      </c>
      <c r="X47" s="373">
        <f>Ram_6!AI30</f>
        <v>0</v>
      </c>
      <c r="Y47" s="374">
        <f>Ram_6!AR14</f>
        <v>0</v>
      </c>
      <c r="Z47" s="376" t="s">
        <v>4381</v>
      </c>
      <c r="AA47" s="377">
        <f>IF(M33&lt;&gt;3,0,IFERROR((IF(HLOOKUP(AA$39,$N47:$Q47,1,0)=AA$39,$W47,0)),0))</f>
        <v>0</v>
      </c>
      <c r="AB47" s="377"/>
      <c r="AC47" s="377">
        <f>IF(M33&lt;&gt;3,0,IFERROR((IF(HLOOKUP(AC$39,$N47:$Q47,1,0)=AC$39,W47,0)),0))</f>
        <v>0</v>
      </c>
      <c r="AD47" s="377">
        <f>IF(M33&lt;&gt;3,0,IFERROR((IF(HLOOKUP(AD$39,$N47:$Q47,1,0)=AD$39,W47,0)),0))</f>
        <v>0</v>
      </c>
      <c r="AE47" s="377">
        <f>IF(M33&lt;&gt;3,0,IFERROR((IF(HLOOKUP(AE$39,$N47:$Q47,1,0)=AE$39,W47,0)),0))</f>
        <v>0</v>
      </c>
      <c r="AF47" s="423"/>
      <c r="AG47" s="407"/>
      <c r="AH47" s="407"/>
      <c r="AI47" s="407"/>
      <c r="AJ47" s="350"/>
      <c r="AQ47" s="344"/>
      <c r="AR47" s="344"/>
      <c r="AS47" s="344"/>
      <c r="AT47" s="344"/>
      <c r="AU47" s="344"/>
      <c r="AV47" s="344"/>
      <c r="BB47" s="344"/>
      <c r="BC47" s="344"/>
      <c r="BD47" s="344"/>
      <c r="BE47" s="344"/>
      <c r="BF47" s="344"/>
      <c r="BG47" s="344"/>
    </row>
    <row r="48" spans="2:59" ht="15" outlineLevel="6">
      <c r="E48" s="344"/>
      <c r="F48" s="344"/>
      <c r="G48" s="344"/>
      <c r="H48" s="344"/>
      <c r="I48" s="344"/>
      <c r="J48" s="344"/>
      <c r="M48" s="349"/>
      <c r="N48" s="406"/>
      <c r="O48" s="406"/>
      <c r="P48" s="406"/>
      <c r="Q48" s="406"/>
      <c r="R48" s="406"/>
      <c r="S48" s="406"/>
      <c r="T48" s="406"/>
      <c r="U48" s="406" t="str">
        <f>IFERROR((VLOOKUP("ne",U42:U47,1,0)),"ano")</f>
        <v>ano</v>
      </c>
      <c r="V48" s="406"/>
      <c r="W48" s="406"/>
      <c r="X48" s="410"/>
      <c r="Y48" s="408"/>
      <c r="Z48" s="407"/>
      <c r="AA48" s="408">
        <f>SUM(AA42:AA47)</f>
        <v>0</v>
      </c>
      <c r="AB48" s="408"/>
      <c r="AC48" s="408">
        <f>SUM(AC42:AC47)-(IF(O42="ne",0,AA48))</f>
        <v>0</v>
      </c>
      <c r="AD48" s="408">
        <f>SUM(AD42:AD47)-SUM($AA$48:AC48)</f>
        <v>0</v>
      </c>
      <c r="AE48" s="408">
        <f>SUM(AE42:AE47)-SUM($AA$48:AD48)</f>
        <v>0</v>
      </c>
      <c r="AF48" s="408"/>
      <c r="AG48" s="407"/>
      <c r="AH48" s="411" t="s">
        <v>4382</v>
      </c>
      <c r="AI48" s="407"/>
      <c r="AJ48" s="350"/>
      <c r="AQ48" s="344"/>
      <c r="AR48" s="344"/>
      <c r="AS48" s="344"/>
      <c r="AT48" s="344"/>
      <c r="AU48" s="344"/>
      <c r="AV48" s="344"/>
      <c r="BB48" s="344"/>
      <c r="BC48" s="344"/>
      <c r="BD48" s="344"/>
      <c r="BE48" s="344"/>
      <c r="BF48" s="344"/>
      <c r="BG48" s="344"/>
    </row>
    <row r="49" spans="1:59" ht="15" outlineLevel="6">
      <c r="E49" s="344"/>
      <c r="F49" s="344"/>
      <c r="G49" s="344"/>
      <c r="H49" s="344"/>
      <c r="I49" s="344"/>
      <c r="J49" s="344"/>
      <c r="M49" s="349"/>
      <c r="N49" s="406"/>
      <c r="O49" s="406"/>
      <c r="P49" s="406"/>
      <c r="Q49" s="406"/>
      <c r="R49" s="406"/>
      <c r="S49" s="406"/>
      <c r="T49" s="406"/>
      <c r="U49" s="406"/>
      <c r="V49" s="406"/>
      <c r="W49" s="406"/>
      <c r="X49" s="410"/>
      <c r="Y49" s="408"/>
      <c r="Z49" s="407"/>
      <c r="AA49" s="408">
        <f>CEILING(AA48/AA40,1)</f>
        <v>0</v>
      </c>
      <c r="AB49" s="408" t="e">
        <f>FLOOR(AB48/AB40,1)</f>
        <v>#DIV/0!</v>
      </c>
      <c r="AC49" s="408">
        <f>CEILING(AC48/AC40,1)</f>
        <v>0</v>
      </c>
      <c r="AD49" s="408"/>
      <c r="AE49" s="408"/>
      <c r="AF49" s="408"/>
      <c r="AG49" s="407"/>
      <c r="AH49" s="407" t="s">
        <v>4383</v>
      </c>
      <c r="AI49" s="407"/>
      <c r="AJ49" s="350"/>
      <c r="AQ49" s="344"/>
      <c r="AR49" s="344"/>
      <c r="AS49" s="344"/>
      <c r="AT49" s="344"/>
      <c r="AU49" s="344"/>
      <c r="AV49" s="344"/>
      <c r="BB49" s="344"/>
      <c r="BC49" s="344"/>
      <c r="BD49" s="344"/>
      <c r="BE49" s="344"/>
      <c r="BF49" s="344"/>
      <c r="BG49" s="344"/>
    </row>
    <row r="50" spans="1:59" ht="15" outlineLevel="6">
      <c r="E50" s="344"/>
      <c r="F50" s="344"/>
      <c r="G50" s="344"/>
      <c r="H50" s="344"/>
      <c r="I50" s="344"/>
      <c r="J50" s="344"/>
      <c r="M50" s="349"/>
      <c r="N50" s="406"/>
      <c r="O50" s="406"/>
      <c r="P50" s="406"/>
      <c r="Q50" s="406"/>
      <c r="R50" s="406"/>
      <c r="S50" s="406"/>
      <c r="T50" s="406"/>
      <c r="U50" s="406"/>
      <c r="V50" s="406"/>
      <c r="W50" s="406"/>
      <c r="X50" s="410"/>
      <c r="Y50" s="408"/>
      <c r="Z50" s="407"/>
      <c r="AA50" s="408">
        <f>SUM(AA42:AA47)</f>
        <v>0</v>
      </c>
      <c r="AB50" s="408"/>
      <c r="AC50" s="408">
        <f>SUM(AC42:AC47)</f>
        <v>0</v>
      </c>
      <c r="AD50" s="408">
        <f t="shared" ref="AD50" si="9">SUM(AD42:AD47)</f>
        <v>0</v>
      </c>
      <c r="AE50" s="408">
        <f>SUM(AE42:AE47)</f>
        <v>0</v>
      </c>
      <c r="AF50" s="408"/>
      <c r="AG50" s="407"/>
      <c r="AH50" s="411" t="s">
        <v>4384</v>
      </c>
      <c r="AI50" s="407"/>
      <c r="AJ50" s="350"/>
      <c r="AQ50" s="344"/>
      <c r="AR50" s="344"/>
      <c r="AS50" s="344"/>
      <c r="AT50" s="344"/>
      <c r="AU50" s="344"/>
      <c r="AV50" s="344"/>
      <c r="BB50" s="344"/>
      <c r="BC50" s="344"/>
      <c r="BD50" s="344"/>
      <c r="BE50" s="344"/>
      <c r="BF50" s="344"/>
      <c r="BG50" s="344"/>
    </row>
    <row r="51" spans="1:59" ht="15" outlineLevel="6">
      <c r="M51" s="349"/>
      <c r="N51" s="406"/>
      <c r="O51" s="406"/>
      <c r="P51" s="406"/>
      <c r="Q51" s="406"/>
      <c r="R51" s="406"/>
      <c r="S51" s="406"/>
      <c r="T51" s="406"/>
      <c r="U51" s="406"/>
      <c r="V51" s="406"/>
      <c r="W51" s="406"/>
      <c r="X51" s="406"/>
      <c r="Y51" s="407"/>
      <c r="Z51" s="407"/>
      <c r="AA51" s="408">
        <f t="shared" ref="AA51:AE51" si="10">CEILING(AA50/AA40,1)</f>
        <v>0</v>
      </c>
      <c r="AB51" s="408" t="e">
        <f t="shared" si="10"/>
        <v>#DIV/0!</v>
      </c>
      <c r="AC51" s="408">
        <f t="shared" si="10"/>
        <v>0</v>
      </c>
      <c r="AD51" s="408">
        <f t="shared" si="10"/>
        <v>0</v>
      </c>
      <c r="AE51" s="408">
        <f t="shared" si="10"/>
        <v>0</v>
      </c>
      <c r="AF51" s="408"/>
      <c r="AG51" s="407"/>
      <c r="AH51" s="407" t="s">
        <v>4385</v>
      </c>
      <c r="AI51" s="407"/>
      <c r="AJ51" s="350"/>
    </row>
    <row r="52" spans="1:59" ht="15" outlineLevel="6">
      <c r="M52" s="349"/>
      <c r="N52" s="406"/>
      <c r="O52" s="406"/>
      <c r="P52" s="406"/>
      <c r="Q52" s="406"/>
      <c r="R52" s="406"/>
      <c r="S52" s="406"/>
      <c r="T52" s="406"/>
      <c r="U52" s="406"/>
      <c r="V52" s="406"/>
      <c r="W52" s="406"/>
      <c r="X52" s="406"/>
      <c r="Y52" s="407"/>
      <c r="Z52" s="407"/>
      <c r="AA52" s="408">
        <f>CEILING(AA50/AA40,1)</f>
        <v>0</v>
      </c>
      <c r="AB52" s="408"/>
      <c r="AC52" s="408">
        <f>CEILING((AC50-AA50)/AC40,1)</f>
        <v>0</v>
      </c>
      <c r="AD52" s="408"/>
      <c r="AE52" s="408"/>
      <c r="AF52" s="408"/>
      <c r="AG52" s="407"/>
      <c r="AH52" s="407" t="s">
        <v>4386</v>
      </c>
      <c r="AI52" s="407"/>
      <c r="AJ52" s="350"/>
      <c r="AV52" s="344"/>
    </row>
    <row r="53" spans="1:59" ht="15" outlineLevel="6">
      <c r="M53" s="349"/>
      <c r="N53" s="406"/>
      <c r="O53" s="406"/>
      <c r="P53" s="406"/>
      <c r="Q53" s="406"/>
      <c r="R53" s="406"/>
      <c r="S53" s="406"/>
      <c r="T53" s="406"/>
      <c r="U53" s="406"/>
      <c r="V53" s="406"/>
      <c r="W53" s="406"/>
      <c r="X53" s="406"/>
      <c r="Y53" s="407"/>
      <c r="Z53" s="407"/>
      <c r="AA53" s="408">
        <f>(AA50/AA40-FLOOR(AA50/AA40,1))*AA40</f>
        <v>0</v>
      </c>
      <c r="AB53" s="408" t="e">
        <f>(AB50/AB40-FLOOR(AB50/AB40,1))*AB40</f>
        <v>#DIV/0!</v>
      </c>
      <c r="AC53" s="408">
        <f>((AC50-AA50)/AC40-FLOOR(AC50/AC40,1))*AC40</f>
        <v>0</v>
      </c>
      <c r="AD53" s="408"/>
      <c r="AE53" s="408"/>
      <c r="AF53" s="408"/>
      <c r="AG53" s="407"/>
      <c r="AH53" s="407" t="s">
        <v>4387</v>
      </c>
      <c r="AI53" s="407"/>
      <c r="AJ53" s="350"/>
    </row>
    <row r="54" spans="1:59" ht="21" customHeight="1" outlineLevel="6">
      <c r="E54" s="393"/>
      <c r="F54" s="393"/>
      <c r="G54" s="393"/>
      <c r="H54" s="394"/>
      <c r="I54" s="394"/>
      <c r="J54" s="394"/>
      <c r="M54" s="349"/>
      <c r="N54" s="406"/>
      <c r="O54" s="406"/>
      <c r="P54" s="406"/>
      <c r="Q54" s="406"/>
      <c r="R54" s="406"/>
      <c r="S54" s="406"/>
      <c r="T54" s="406"/>
      <c r="U54" s="406"/>
      <c r="V54" s="406"/>
      <c r="W54" s="406"/>
      <c r="X54" s="406"/>
      <c r="Y54" s="407"/>
      <c r="Z54" s="407" t="s">
        <v>4388</v>
      </c>
      <c r="AA54" s="412">
        <f>AA48-(FLOOR(AA48/AA40,1)*AA40)</f>
        <v>0</v>
      </c>
      <c r="AB54" s="412" t="e">
        <f>AB49*AB40-AB48</f>
        <v>#DIV/0!</v>
      </c>
      <c r="AC54" s="408"/>
      <c r="AD54" s="408"/>
      <c r="AE54" s="408"/>
      <c r="AF54" s="408"/>
      <c r="AG54" s="407"/>
      <c r="AH54" s="407" t="s">
        <v>4388</v>
      </c>
      <c r="AI54" s="407"/>
      <c r="AJ54" s="350"/>
    </row>
    <row r="55" spans="1:59" ht="21" customHeight="1" outlineLevel="6">
      <c r="E55" s="393"/>
      <c r="F55" s="393"/>
      <c r="G55" s="393"/>
      <c r="H55" s="394"/>
      <c r="I55" s="394"/>
      <c r="J55" s="394"/>
      <c r="M55" s="349"/>
      <c r="N55" s="406"/>
      <c r="O55" s="406"/>
      <c r="P55" s="406"/>
      <c r="Q55" s="406"/>
      <c r="R55" s="406"/>
      <c r="S55" s="406"/>
      <c r="T55" s="406"/>
      <c r="U55" s="406"/>
      <c r="V55" s="406"/>
      <c r="W55" s="406"/>
      <c r="X55" s="406"/>
      <c r="Y55" s="407"/>
      <c r="Z55" s="407"/>
      <c r="AA55" s="412"/>
      <c r="AB55" s="412"/>
      <c r="AC55" s="412">
        <f>AC49*AC40-AC48</f>
        <v>0</v>
      </c>
      <c r="AD55" s="408"/>
      <c r="AE55" s="408"/>
      <c r="AF55" s="408"/>
      <c r="AG55" s="407"/>
      <c r="AH55" s="407" t="s">
        <v>4389</v>
      </c>
      <c r="AI55" s="407"/>
      <c r="AJ55" s="350"/>
    </row>
    <row r="56" spans="1:59" ht="21" customHeight="1" outlineLevel="6">
      <c r="E56" s="393"/>
      <c r="F56" s="393"/>
      <c r="G56" s="393"/>
      <c r="H56" s="394"/>
      <c r="I56" s="394"/>
      <c r="J56" s="394"/>
      <c r="M56" s="349"/>
      <c r="N56" s="406"/>
      <c r="O56" s="406"/>
      <c r="P56" s="406"/>
      <c r="Q56" s="406"/>
      <c r="R56" s="406"/>
      <c r="S56" s="406"/>
      <c r="T56" s="406"/>
      <c r="U56" s="406"/>
      <c r="V56" s="406"/>
      <c r="W56" s="406"/>
      <c r="X56" s="406"/>
      <c r="Y56" s="407"/>
      <c r="Z56" s="407"/>
      <c r="AA56" s="412">
        <f>(AA48-AA54)/AA40</f>
        <v>0</v>
      </c>
      <c r="AB56" s="412"/>
      <c r="AC56" s="408">
        <f>CEILING((AC48+AA54)/AC40,1)</f>
        <v>0</v>
      </c>
      <c r="AD56" s="408"/>
      <c r="AE56" s="408"/>
      <c r="AF56" s="408"/>
      <c r="AG56" s="407"/>
      <c r="AH56" s="411" t="s">
        <v>4390</v>
      </c>
      <c r="AI56" s="407"/>
      <c r="AJ56" s="350"/>
    </row>
    <row r="57" spans="1:59" ht="23.25" customHeight="1" outlineLevel="1" thickBot="1">
      <c r="B57" s="245"/>
      <c r="E57" s="344"/>
      <c r="F57" s="344"/>
      <c r="G57" s="344"/>
      <c r="H57" s="344"/>
      <c r="I57" s="344"/>
      <c r="J57" s="344"/>
      <c r="M57" s="349"/>
      <c r="N57" s="406"/>
      <c r="O57" s="406"/>
      <c r="P57" s="406"/>
      <c r="Q57" s="406"/>
      <c r="R57" s="406"/>
      <c r="S57" s="406"/>
      <c r="T57" s="406"/>
      <c r="U57" s="406"/>
      <c r="V57" s="406"/>
      <c r="W57" s="406"/>
      <c r="X57" s="406"/>
      <c r="Y57" s="407"/>
      <c r="Z57" s="407"/>
      <c r="AA57" s="407"/>
      <c r="AB57" s="407"/>
      <c r="AC57" s="407"/>
      <c r="AD57" s="407"/>
      <c r="AE57" s="407"/>
      <c r="AF57" s="407"/>
      <c r="AG57" s="407"/>
      <c r="AH57" s="407" t="s">
        <v>4391</v>
      </c>
      <c r="AI57" s="407"/>
      <c r="AJ57" s="350"/>
    </row>
    <row r="58" spans="1:59" ht="30" customHeight="1" thickBot="1">
      <c r="A58" s="403"/>
      <c r="B58" s="160"/>
      <c r="D58" s="344"/>
      <c r="E58" s="396"/>
      <c r="F58" s="396"/>
      <c r="G58" s="396"/>
      <c r="H58" s="396"/>
      <c r="I58" s="396"/>
      <c r="J58" s="396"/>
      <c r="M58" s="349"/>
      <c r="N58" s="406"/>
      <c r="O58" s="406"/>
      <c r="P58" s="406"/>
      <c r="Q58" s="406"/>
      <c r="R58" s="406"/>
      <c r="S58" s="406"/>
      <c r="T58" s="406"/>
      <c r="U58" s="406"/>
      <c r="V58" s="406"/>
      <c r="W58" s="406"/>
      <c r="X58" s="406"/>
      <c r="Y58" s="407"/>
      <c r="Z58" s="407"/>
      <c r="AA58" s="378">
        <f>IF(AA50&lt;$Z$36,0,AA51*AA38)</f>
        <v>0</v>
      </c>
      <c r="AB58" s="379">
        <f>IF(AB50&lt;$Z$36,0,AB57)</f>
        <v>0</v>
      </c>
      <c r="AC58" s="379">
        <f>IF(AC50&lt;$Z$36,0,AC51*AC38)</f>
        <v>0</v>
      </c>
      <c r="AD58" s="379">
        <f>IF(AD50&lt;$Z$36,0,AD51*AD38)</f>
        <v>0</v>
      </c>
      <c r="AE58" s="379">
        <f>IF(AE50&lt;$Z$36,0,AE51*AE38)</f>
        <v>0</v>
      </c>
      <c r="AF58" s="380"/>
      <c r="AG58" s="413">
        <f>(_xlfn.MINIFS(AA57:AE57,AA58:AE58,"&gt;"&amp;0))</f>
        <v>0</v>
      </c>
      <c r="AH58" s="420"/>
      <c r="AI58" s="407"/>
      <c r="AJ58" s="350"/>
    </row>
    <row r="59" spans="1:59" ht="17.25" customHeight="1">
      <c r="A59" s="403"/>
      <c r="B59" s="160"/>
      <c r="D59" s="344"/>
      <c r="E59" s="397"/>
      <c r="F59" s="397"/>
      <c r="G59" s="397"/>
      <c r="H59" s="397"/>
      <c r="I59" s="397"/>
      <c r="J59" s="397"/>
      <c r="M59" s="349"/>
      <c r="N59" s="406"/>
      <c r="O59" s="406"/>
      <c r="P59" s="406"/>
      <c r="Q59" s="406"/>
      <c r="R59" s="406"/>
      <c r="S59" s="406"/>
      <c r="T59" s="406"/>
      <c r="U59" s="406"/>
      <c r="V59" s="406"/>
      <c r="W59" s="406"/>
      <c r="X59" s="406"/>
      <c r="Y59" s="407"/>
      <c r="Z59" s="407"/>
      <c r="AA59" s="414" t="str">
        <f>AA39&amp;" ("&amp;AA51&amp;"ks)"</f>
        <v>balík A (0ks)</v>
      </c>
      <c r="AB59" s="414" t="e">
        <f t="shared" ref="AB59:AE59" si="11">AB39&amp;" ("&amp;AB51&amp;"ks)"</f>
        <v>#DIV/0!</v>
      </c>
      <c r="AC59" s="414" t="str">
        <f t="shared" si="11"/>
        <v>balík B (0ks)</v>
      </c>
      <c r="AD59" s="414" t="str">
        <f t="shared" si="11"/>
        <v>paleta A (0ks)</v>
      </c>
      <c r="AE59" s="414" t="str">
        <f t="shared" si="11"/>
        <v>paleta B (0ks)</v>
      </c>
      <c r="AF59" s="414"/>
      <c r="AG59" s="407"/>
      <c r="AH59" s="420"/>
      <c r="AI59" s="407"/>
      <c r="AJ59" s="350"/>
    </row>
    <row r="60" spans="1:59" ht="17.25" hidden="1" customHeight="1">
      <c r="A60" s="403"/>
      <c r="B60" s="160"/>
      <c r="D60" s="344"/>
      <c r="E60" s="397"/>
      <c r="F60" s="397"/>
      <c r="G60" s="397"/>
      <c r="H60" s="397"/>
      <c r="I60" s="397"/>
      <c r="J60" s="397"/>
      <c r="M60" s="349"/>
      <c r="N60" s="406"/>
      <c r="O60" s="406"/>
      <c r="P60" s="406"/>
      <c r="Q60" s="406"/>
      <c r="R60" s="406"/>
      <c r="S60" s="406"/>
      <c r="T60" s="406"/>
      <c r="U60" s="406"/>
      <c r="V60" s="406"/>
      <c r="W60" s="406"/>
      <c r="X60" s="406"/>
      <c r="Y60" s="407"/>
      <c r="Z60" s="407"/>
      <c r="AA60" s="414"/>
      <c r="AB60" s="414"/>
      <c r="AC60" s="414"/>
      <c r="AD60" s="414"/>
      <c r="AE60" s="414"/>
      <c r="AF60" s="414"/>
      <c r="AG60" s="407"/>
      <c r="AH60" s="420"/>
      <c r="AI60" s="407"/>
      <c r="AJ60" s="350"/>
    </row>
    <row r="61" spans="1:59" ht="17.25" hidden="1" customHeight="1">
      <c r="A61" s="403"/>
      <c r="B61" s="160"/>
      <c r="D61" s="344"/>
      <c r="E61" s="397"/>
      <c r="F61" s="397"/>
      <c r="G61" s="397"/>
      <c r="H61" s="397"/>
      <c r="I61" s="397"/>
      <c r="J61" s="397"/>
      <c r="M61" s="349"/>
      <c r="N61" s="406"/>
      <c r="O61" s="406"/>
      <c r="P61" s="406"/>
      <c r="Q61" s="406"/>
      <c r="R61" s="406"/>
      <c r="S61" s="406"/>
      <c r="T61" s="406"/>
      <c r="U61" s="406"/>
      <c r="V61" s="406"/>
      <c r="W61" s="406"/>
      <c r="X61" s="406"/>
      <c r="Y61" s="407"/>
      <c r="Z61" s="407"/>
      <c r="AA61" s="414"/>
      <c r="AB61" s="414"/>
      <c r="AC61" s="414"/>
      <c r="AD61" s="414"/>
      <c r="AE61" s="414"/>
      <c r="AF61" s="414"/>
      <c r="AG61" s="407"/>
      <c r="AH61" s="420"/>
      <c r="AI61" s="407"/>
      <c r="AJ61" s="350"/>
    </row>
    <row r="62" spans="1:59" ht="17.25" hidden="1" customHeight="1">
      <c r="A62" s="403"/>
      <c r="B62" s="160"/>
      <c r="D62" s="344"/>
      <c r="E62" s="397"/>
      <c r="F62" s="397"/>
      <c r="G62" s="397"/>
      <c r="H62" s="397"/>
      <c r="I62" s="397"/>
      <c r="J62" s="397"/>
      <c r="M62" s="349"/>
      <c r="N62" s="406"/>
      <c r="O62" s="406"/>
      <c r="P62" s="406"/>
      <c r="Q62" s="406"/>
      <c r="R62" s="406"/>
      <c r="S62" s="406"/>
      <c r="T62" s="406"/>
      <c r="U62" s="406"/>
      <c r="V62" s="406"/>
      <c r="W62" s="406"/>
      <c r="X62" s="406"/>
      <c r="Y62" s="407"/>
      <c r="Z62" s="407"/>
      <c r="AA62" s="414"/>
      <c r="AB62" s="414"/>
      <c r="AC62" s="414"/>
      <c r="AD62" s="414"/>
      <c r="AE62" s="414"/>
      <c r="AF62" s="414"/>
      <c r="AG62" s="407"/>
      <c r="AH62" s="420"/>
      <c r="AI62" s="407"/>
      <c r="AJ62" s="350"/>
    </row>
    <row r="63" spans="1:59" ht="17.25" hidden="1" customHeight="1">
      <c r="A63" s="403"/>
      <c r="B63" s="160"/>
      <c r="D63" s="344"/>
      <c r="E63" s="397"/>
      <c r="F63" s="397"/>
      <c r="G63" s="397"/>
      <c r="H63" s="397"/>
      <c r="I63" s="397"/>
      <c r="J63" s="397"/>
      <c r="M63" s="349"/>
      <c r="N63" s="406"/>
      <c r="O63" s="406"/>
      <c r="P63" s="406"/>
      <c r="Q63" s="406"/>
      <c r="R63" s="406"/>
      <c r="S63" s="406"/>
      <c r="T63" s="406"/>
      <c r="U63" s="406"/>
      <c r="V63" s="406"/>
      <c r="W63" s="406"/>
      <c r="X63" s="406"/>
      <c r="Y63" s="407"/>
      <c r="Z63" s="407"/>
      <c r="AA63" s="414"/>
      <c r="AB63" s="414"/>
      <c r="AC63" s="414"/>
      <c r="AD63" s="414"/>
      <c r="AE63" s="414"/>
      <c r="AF63" s="414"/>
      <c r="AG63" s="407"/>
      <c r="AH63" s="420"/>
      <c r="AI63" s="407"/>
      <c r="AJ63" s="350"/>
    </row>
    <row r="64" spans="1:59" ht="17.25" hidden="1" customHeight="1">
      <c r="A64" s="403"/>
      <c r="B64" s="160"/>
      <c r="D64" s="344"/>
      <c r="E64" s="397"/>
      <c r="F64" s="397"/>
      <c r="G64" s="397"/>
      <c r="H64" s="397"/>
      <c r="I64" s="397"/>
      <c r="J64" s="397"/>
      <c r="M64" s="349"/>
      <c r="N64" s="406"/>
      <c r="O64" s="406"/>
      <c r="P64" s="406"/>
      <c r="Q64" s="406"/>
      <c r="R64" s="406"/>
      <c r="S64" s="406"/>
      <c r="T64" s="406"/>
      <c r="U64" s="406"/>
      <c r="V64" s="406"/>
      <c r="W64" s="406"/>
      <c r="X64" s="406"/>
      <c r="Y64" s="407"/>
      <c r="Z64" s="407"/>
      <c r="AA64" s="414"/>
      <c r="AB64" s="414"/>
      <c r="AC64" s="414"/>
      <c r="AD64" s="414"/>
      <c r="AE64" s="414"/>
      <c r="AF64" s="414"/>
      <c r="AG64" s="407"/>
      <c r="AH64" s="420"/>
      <c r="AI64" s="407"/>
      <c r="AJ64" s="350"/>
    </row>
    <row r="65" spans="1:36" ht="17.25" hidden="1" customHeight="1">
      <c r="A65" s="403"/>
      <c r="B65" s="160"/>
      <c r="D65" s="344"/>
      <c r="E65" s="397"/>
      <c r="F65" s="397"/>
      <c r="G65" s="397"/>
      <c r="H65" s="397"/>
      <c r="I65" s="397"/>
      <c r="J65" s="397"/>
      <c r="M65" s="349"/>
      <c r="N65" s="406"/>
      <c r="O65" s="406"/>
      <c r="P65" s="406"/>
      <c r="Q65" s="406"/>
      <c r="R65" s="406"/>
      <c r="S65" s="406"/>
      <c r="T65" s="406"/>
      <c r="U65" s="406"/>
      <c r="V65" s="406"/>
      <c r="W65" s="406"/>
      <c r="X65" s="406"/>
      <c r="Y65" s="407"/>
      <c r="Z65" s="407"/>
      <c r="AA65" s="414"/>
      <c r="AB65" s="414"/>
      <c r="AC65" s="414"/>
      <c r="AD65" s="414"/>
      <c r="AE65" s="414"/>
      <c r="AF65" s="414"/>
      <c r="AG65" s="407"/>
      <c r="AH65" s="420"/>
      <c r="AI65" s="407"/>
      <c r="AJ65" s="350"/>
    </row>
    <row r="66" spans="1:36" ht="17.25" hidden="1" customHeight="1">
      <c r="A66" s="403"/>
      <c r="B66" s="160"/>
      <c r="D66" s="344"/>
      <c r="E66" s="397"/>
      <c r="F66" s="397"/>
      <c r="G66" s="397"/>
      <c r="H66" s="397"/>
      <c r="I66" s="397"/>
      <c r="J66" s="397"/>
      <c r="M66" s="349"/>
      <c r="N66" s="406"/>
      <c r="O66" s="406"/>
      <c r="P66" s="406"/>
      <c r="Q66" s="406"/>
      <c r="R66" s="406"/>
      <c r="S66" s="406"/>
      <c r="T66" s="406"/>
      <c r="U66" s="406"/>
      <c r="V66" s="406"/>
      <c r="W66" s="406"/>
      <c r="X66" s="406"/>
      <c r="Y66" s="407"/>
      <c r="Z66" s="407"/>
      <c r="AA66" s="414"/>
      <c r="AB66" s="414"/>
      <c r="AC66" s="414"/>
      <c r="AD66" s="414"/>
      <c r="AE66" s="414"/>
      <c r="AF66" s="414"/>
      <c r="AG66" s="407"/>
      <c r="AH66" s="420"/>
      <c r="AI66" s="407"/>
      <c r="AJ66" s="350"/>
    </row>
    <row r="67" spans="1:36" ht="17.25" hidden="1" customHeight="1">
      <c r="A67" s="403"/>
      <c r="B67" s="160"/>
      <c r="D67" s="344"/>
      <c r="E67" s="397"/>
      <c r="F67" s="397"/>
      <c r="G67" s="397"/>
      <c r="H67" s="397"/>
      <c r="I67" s="397"/>
      <c r="J67" s="397"/>
      <c r="M67" s="349"/>
      <c r="N67" s="406"/>
      <c r="O67" s="406"/>
      <c r="P67" s="406"/>
      <c r="Q67" s="406"/>
      <c r="R67" s="406"/>
      <c r="S67" s="406"/>
      <c r="T67" s="406"/>
      <c r="U67" s="406"/>
      <c r="V67" s="406"/>
      <c r="W67" s="406"/>
      <c r="X67" s="406"/>
      <c r="Y67" s="407"/>
      <c r="Z67" s="407"/>
      <c r="AA67" s="414"/>
      <c r="AB67" s="414"/>
      <c r="AC67" s="414"/>
      <c r="AD67" s="414"/>
      <c r="AE67" s="414"/>
      <c r="AF67" s="414"/>
      <c r="AG67" s="407"/>
      <c r="AH67" s="420"/>
      <c r="AI67" s="407"/>
      <c r="AJ67" s="350"/>
    </row>
    <row r="68" spans="1:36" ht="15.75" hidden="1" customHeight="1">
      <c r="B68" s="344"/>
      <c r="D68" s="344"/>
      <c r="E68" s="344"/>
      <c r="F68" s="344"/>
      <c r="G68" s="344"/>
      <c r="H68" s="344"/>
      <c r="I68" s="344"/>
      <c r="J68" s="344"/>
      <c r="M68" s="349"/>
      <c r="N68" s="406"/>
      <c r="O68" s="406"/>
      <c r="P68" s="406"/>
      <c r="Q68" s="406"/>
      <c r="R68" s="406"/>
      <c r="S68" s="406"/>
      <c r="T68" s="406"/>
      <c r="U68" s="406"/>
      <c r="V68" s="406"/>
      <c r="W68" s="406"/>
      <c r="X68" s="406"/>
      <c r="Y68" s="407"/>
      <c r="Z68" s="407"/>
      <c r="AA68" s="407"/>
      <c r="AB68" s="407"/>
      <c r="AC68" s="407"/>
      <c r="AD68" s="407"/>
      <c r="AE68" s="407"/>
      <c r="AF68" s="407"/>
      <c r="AG68" s="407"/>
      <c r="AH68" s="420"/>
      <c r="AI68" s="407"/>
      <c r="AJ68" s="350"/>
    </row>
    <row r="69" spans="1:36" ht="36.75" customHeight="1">
      <c r="D69" s="344"/>
      <c r="E69" s="344"/>
      <c r="F69" s="344"/>
      <c r="G69" s="344"/>
      <c r="H69" s="344"/>
      <c r="I69" s="344"/>
      <c r="J69" s="344"/>
      <c r="M69" s="349"/>
      <c r="N69" s="406"/>
      <c r="O69" s="406"/>
      <c r="P69" s="406"/>
      <c r="Q69" s="406"/>
      <c r="R69" s="406"/>
      <c r="S69" s="406"/>
      <c r="T69" s="406"/>
      <c r="U69" s="406"/>
      <c r="V69" s="406"/>
      <c r="W69" s="406"/>
      <c r="X69" s="406"/>
      <c r="Y69" s="407"/>
      <c r="Z69" s="407"/>
      <c r="AA69" s="407"/>
      <c r="AB69" s="407"/>
      <c r="AC69" s="407"/>
      <c r="AD69" s="407"/>
      <c r="AE69" s="407"/>
      <c r="AF69" s="408"/>
      <c r="AG69" s="407"/>
      <c r="AH69" s="421">
        <f>IF(W40&gt;20,"wycena indiwidualna",IF(U48="ano",IF(AF71&lt;(_xlfn.MINIFS(AA58:AE58,AA58:AE58,"&gt;"&amp;0)),IF(AF71=0,_xlfn.MINIFS(AA58:AE58,AA58:AE58,"&gt;"&amp;0),AF71),_xlfn.MINIFS(AA58:AE58,AA58:AE58,"&gt;"&amp;0)),"zbyt duże wymiary"))</f>
        <v>0</v>
      </c>
      <c r="AI69" s="422"/>
      <c r="AJ69" s="350"/>
    </row>
    <row r="70" spans="1:36" ht="15" customHeight="1" thickBot="1">
      <c r="D70" s="344"/>
      <c r="E70" s="396"/>
      <c r="F70" s="396"/>
      <c r="G70" s="396"/>
      <c r="H70" s="344"/>
      <c r="I70" s="344"/>
      <c r="J70" s="344"/>
      <c r="M70" s="349"/>
      <c r="N70" s="406"/>
      <c r="O70" s="406"/>
      <c r="P70" s="406"/>
      <c r="Q70" s="406"/>
      <c r="R70" s="406"/>
      <c r="S70" s="406"/>
      <c r="T70" s="406"/>
      <c r="U70" s="406"/>
      <c r="V70" s="406"/>
      <c r="W70" s="406"/>
      <c r="X70" s="406"/>
      <c r="Y70" s="407"/>
      <c r="Z70" s="407" t="str">
        <f>IF(AA70="NE","Nelze přihodit A do C","A lze přihodit do C")</f>
        <v>A lze přihodit do C</v>
      </c>
      <c r="AA70" s="381" t="str">
        <f>IF(AND(O42="balík B",AC55&gt;=AA54),"ANO","NE")</f>
        <v>ANO</v>
      </c>
      <c r="AB70" s="407"/>
      <c r="AC70" s="407"/>
      <c r="AD70" s="407"/>
      <c r="AE70" s="407"/>
      <c r="AF70" s="407"/>
      <c r="AG70" s="407"/>
      <c r="AH70" s="420"/>
      <c r="AI70" s="407"/>
      <c r="AJ70" s="350"/>
    </row>
    <row r="71" spans="1:36" ht="15" customHeight="1">
      <c r="D71" s="344"/>
      <c r="E71" s="397"/>
      <c r="F71" s="397"/>
      <c r="G71" s="397"/>
      <c r="H71" s="397"/>
      <c r="I71" s="397"/>
      <c r="J71" s="397"/>
      <c r="M71" s="349"/>
      <c r="N71" s="406"/>
      <c r="O71" s="406"/>
      <c r="P71" s="406"/>
      <c r="Q71" s="406"/>
      <c r="R71" s="406"/>
      <c r="S71" s="406"/>
      <c r="T71" s="406"/>
      <c r="U71" s="406"/>
      <c r="V71" s="406"/>
      <c r="W71" s="406"/>
      <c r="X71" s="406"/>
      <c r="Y71" s="407"/>
      <c r="Z71" s="407"/>
      <c r="AA71" s="382">
        <f>AD71*AA38</f>
        <v>0</v>
      </c>
      <c r="AB71" s="383"/>
      <c r="AC71" s="383" t="s">
        <v>4397</v>
      </c>
      <c r="AD71" s="384">
        <f>IF((IF(SUMIFS(W42:W47,V42:V47,"paleta")&gt;0,"paleta",0))="paleta",0,IF(AA70="NE",AA49,AA56))</f>
        <v>0</v>
      </c>
      <c r="AE71" s="385" t="s">
        <v>4392</v>
      </c>
      <c r="AF71" s="786">
        <f>AA71+AA72</f>
        <v>0</v>
      </c>
      <c r="AG71" s="407"/>
      <c r="AH71" s="420"/>
      <c r="AI71" s="407"/>
      <c r="AJ71" s="350"/>
    </row>
    <row r="72" spans="1:36" ht="15.75" customHeight="1" thickBot="1">
      <c r="E72" s="344"/>
      <c r="F72" s="344"/>
      <c r="G72" s="344"/>
      <c r="H72" s="397"/>
      <c r="I72" s="397"/>
      <c r="J72" s="397"/>
      <c r="M72" s="349"/>
      <c r="N72" s="406"/>
      <c r="O72" s="406"/>
      <c r="P72" s="406"/>
      <c r="Q72" s="406"/>
      <c r="R72" s="406"/>
      <c r="S72" s="406"/>
      <c r="T72" s="406"/>
      <c r="U72" s="406"/>
      <c r="V72" s="406"/>
      <c r="W72" s="406"/>
      <c r="X72" s="406"/>
      <c r="Y72" s="407"/>
      <c r="Z72" s="407"/>
      <c r="AA72" s="386">
        <f>AD72*AC38</f>
        <v>0</v>
      </c>
      <c r="AB72" s="387"/>
      <c r="AC72" s="387" t="s">
        <v>4448</v>
      </c>
      <c r="AD72" s="387">
        <f>IF((IF(SUMIFS(W42:W47,V42:V47,"paleta")&gt;0,"paleta",0))="paleta",0,IF(AA70="NE",AC49,AC56))</f>
        <v>0</v>
      </c>
      <c r="AE72" s="388" t="s">
        <v>4392</v>
      </c>
      <c r="AF72" s="787"/>
      <c r="AG72" s="407"/>
      <c r="AH72" s="420"/>
      <c r="AI72" s="407"/>
      <c r="AJ72" s="350"/>
    </row>
    <row r="73" spans="1:36" ht="16.5" customHeight="1" thickBot="1">
      <c r="D73" s="344"/>
      <c r="E73" s="344"/>
      <c r="F73" s="344"/>
      <c r="G73" s="344"/>
      <c r="H73" s="344"/>
      <c r="I73" s="344"/>
      <c r="J73" s="344"/>
      <c r="M73" s="389"/>
      <c r="N73" s="390"/>
      <c r="O73" s="390"/>
      <c r="P73" s="390"/>
      <c r="Q73" s="390"/>
      <c r="R73" s="390"/>
      <c r="S73" s="390"/>
      <c r="T73" s="390"/>
      <c r="U73" s="390"/>
      <c r="V73" s="390"/>
      <c r="W73" s="390"/>
      <c r="X73" s="390"/>
      <c r="Y73" s="391"/>
      <c r="Z73" s="391"/>
      <c r="AA73" s="391"/>
      <c r="AB73" s="391"/>
      <c r="AC73" s="391"/>
      <c r="AD73" s="391"/>
      <c r="AE73" s="391"/>
      <c r="AF73" s="391"/>
      <c r="AG73" s="391"/>
      <c r="AH73" s="391"/>
      <c r="AI73" s="391"/>
      <c r="AJ73" s="392"/>
    </row>
    <row r="74" spans="1:36" ht="19.5" customHeight="1">
      <c r="D74" s="344"/>
      <c r="E74" s="399"/>
      <c r="F74" s="399"/>
      <c r="G74" s="399"/>
      <c r="H74" s="399"/>
      <c r="I74" s="399"/>
      <c r="J74" s="399"/>
      <c r="U74" s="1"/>
      <c r="V74" s="1"/>
      <c r="W74" s="1"/>
      <c r="X74" s="1"/>
    </row>
    <row r="75" spans="1:36" ht="15.75" customHeight="1">
      <c r="D75" s="344"/>
      <c r="E75" s="344"/>
      <c r="F75" s="344"/>
      <c r="G75" s="344"/>
      <c r="H75" s="344"/>
      <c r="I75" s="344"/>
      <c r="J75" s="344"/>
      <c r="U75" s="1"/>
      <c r="V75" s="1"/>
      <c r="W75" s="1"/>
      <c r="X75" s="1"/>
      <c r="AD75" s="400"/>
    </row>
    <row r="76" spans="1:36" ht="15" outlineLevel="1">
      <c r="E76" s="344"/>
      <c r="F76" s="344"/>
      <c r="G76" s="344"/>
      <c r="H76" s="344"/>
      <c r="I76" s="344"/>
      <c r="J76" s="344"/>
      <c r="Y76" s="12"/>
    </row>
    <row r="77" spans="1:36" ht="23.25" outlineLevel="4">
      <c r="E77" s="344"/>
      <c r="F77" s="344"/>
      <c r="G77" s="344"/>
      <c r="H77" s="344"/>
      <c r="I77" s="344"/>
      <c r="J77" s="344"/>
      <c r="AA77" s="428"/>
      <c r="AB77" s="428"/>
      <c r="AC77" s="428"/>
      <c r="AD77" s="428"/>
      <c r="AE77" s="428"/>
      <c r="AF77" s="428"/>
      <c r="AG77" s="428"/>
    </row>
    <row r="78" spans="1:36" ht="15" outlineLevel="4">
      <c r="E78" s="344"/>
      <c r="F78" s="344"/>
      <c r="G78" s="344"/>
      <c r="H78" s="344"/>
      <c r="I78" s="344"/>
      <c r="J78" s="344"/>
      <c r="AA78" s="235"/>
      <c r="AB78" s="427"/>
      <c r="AC78" s="427"/>
      <c r="AD78" s="427"/>
      <c r="AE78" s="427"/>
      <c r="AF78" s="174"/>
      <c r="AG78" s="174"/>
    </row>
    <row r="79" spans="1:36" ht="15" outlineLevel="4">
      <c r="E79" s="344"/>
      <c r="F79" s="344"/>
      <c r="G79" s="344"/>
      <c r="H79" s="344"/>
      <c r="I79" s="344"/>
      <c r="J79" s="344"/>
      <c r="AA79"/>
      <c r="AB79" s="427"/>
      <c r="AC79" s="427"/>
      <c r="AD79" s="427"/>
      <c r="AE79" s="427"/>
      <c r="AF79" s="174"/>
      <c r="AG79" s="174"/>
    </row>
    <row r="80" spans="1:36" ht="15" outlineLevel="4">
      <c r="E80" s="344"/>
      <c r="F80" s="344"/>
      <c r="G80" s="344"/>
      <c r="H80" s="344"/>
      <c r="I80" s="344"/>
      <c r="J80" s="344"/>
      <c r="AA80"/>
      <c r="AB80"/>
      <c r="AC80"/>
      <c r="AD80"/>
      <c r="AE80"/>
      <c r="AF80"/>
      <c r="AG80" s="174"/>
    </row>
    <row r="81" spans="1:32" ht="15" outlineLevel="4">
      <c r="E81" s="344"/>
      <c r="F81" s="344"/>
      <c r="G81" s="344"/>
      <c r="H81" s="344"/>
      <c r="I81" s="344"/>
      <c r="J81" s="344"/>
    </row>
    <row r="82" spans="1:32" ht="15" outlineLevel="4">
      <c r="E82" s="344"/>
      <c r="F82" s="344"/>
      <c r="G82" s="344"/>
      <c r="H82" s="344"/>
      <c r="I82" s="344"/>
      <c r="J82" s="344"/>
    </row>
    <row r="83" spans="1:32" ht="15" outlineLevel="4">
      <c r="E83" s="344"/>
      <c r="F83" s="344"/>
      <c r="G83" s="344"/>
      <c r="H83" s="344"/>
      <c r="I83" s="344"/>
      <c r="J83" s="344"/>
    </row>
    <row r="84" spans="1:32" ht="15.75" outlineLevel="4">
      <c r="Z84" s="266"/>
    </row>
    <row r="85" spans="1:32" ht="15.75" outlineLevel="4">
      <c r="Y85" s="266"/>
      <c r="AB85" s="426"/>
      <c r="AC85" s="426"/>
      <c r="AD85" s="426"/>
      <c r="AE85" s="426"/>
      <c r="AF85" s="426"/>
    </row>
    <row r="86" spans="1:32" ht="15"/>
    <row r="87" spans="1:32" ht="21">
      <c r="E87" s="393"/>
      <c r="F87" s="393"/>
      <c r="G87" s="393"/>
      <c r="H87" s="394"/>
      <c r="I87" s="394"/>
      <c r="J87" s="394"/>
    </row>
    <row r="88" spans="1:32" ht="26.25" customHeight="1">
      <c r="B88" s="245"/>
      <c r="E88" s="344"/>
      <c r="F88" s="344"/>
      <c r="G88" s="344"/>
      <c r="H88" s="344"/>
      <c r="I88" s="344"/>
      <c r="J88" s="344"/>
      <c r="Z88" s="266"/>
    </row>
    <row r="89" spans="1:32" ht="15">
      <c r="A89" s="403"/>
      <c r="B89" s="160"/>
      <c r="D89" s="344"/>
      <c r="E89" s="396"/>
      <c r="F89" s="396"/>
      <c r="G89" s="396"/>
      <c r="H89" s="396"/>
      <c r="I89" s="396"/>
      <c r="J89" s="396"/>
    </row>
    <row r="90" spans="1:32" ht="18" customHeight="1">
      <c r="A90" s="403"/>
      <c r="B90" s="160"/>
      <c r="D90" s="344"/>
      <c r="E90" s="397"/>
      <c r="F90" s="397"/>
      <c r="G90" s="397"/>
      <c r="H90" s="397"/>
      <c r="I90" s="397"/>
      <c r="J90" s="397"/>
    </row>
    <row r="91" spans="1:32" ht="15">
      <c r="B91" s="344"/>
      <c r="D91" s="344"/>
      <c r="E91" s="344"/>
      <c r="F91" s="344"/>
      <c r="G91" s="344"/>
      <c r="H91" s="344"/>
      <c r="I91" s="344"/>
      <c r="J91" s="344"/>
    </row>
    <row r="92" spans="1:32" ht="15">
      <c r="D92" s="344"/>
      <c r="E92" s="344"/>
      <c r="F92" s="344"/>
      <c r="G92" s="344"/>
      <c r="H92" s="344"/>
      <c r="I92" s="344"/>
      <c r="J92" s="344"/>
    </row>
    <row r="93" spans="1:32" ht="16.5" customHeight="1">
      <c r="D93" s="344"/>
      <c r="E93" s="396"/>
      <c r="F93" s="396"/>
      <c r="G93" s="396"/>
      <c r="H93" s="344"/>
      <c r="I93" s="344"/>
      <c r="J93" s="344"/>
    </row>
    <row r="94" spans="1:32" ht="16.5" customHeight="1">
      <c r="D94" s="344"/>
      <c r="E94" s="397"/>
      <c r="F94" s="397"/>
      <c r="G94" s="397"/>
      <c r="H94" s="397"/>
      <c r="I94" s="397"/>
      <c r="J94" s="397"/>
    </row>
    <row r="95" spans="1:32" ht="15">
      <c r="E95" s="344"/>
      <c r="F95" s="344"/>
      <c r="G95" s="344"/>
      <c r="H95" s="397"/>
      <c r="I95" s="397"/>
      <c r="J95" s="397"/>
    </row>
    <row r="96" spans="1:32" ht="15">
      <c r="D96" s="344"/>
      <c r="E96" s="344"/>
      <c r="F96" s="344"/>
      <c r="G96" s="344"/>
      <c r="H96" s="344"/>
      <c r="I96" s="344"/>
      <c r="J96" s="344"/>
    </row>
    <row r="97" spans="1:10" ht="18.75">
      <c r="D97" s="344"/>
      <c r="E97" s="399"/>
      <c r="F97" s="399"/>
      <c r="G97" s="399"/>
      <c r="H97" s="399"/>
      <c r="I97" s="399"/>
      <c r="J97" s="399"/>
    </row>
    <row r="98" spans="1:10" ht="15">
      <c r="D98" s="344"/>
      <c r="E98" s="344"/>
      <c r="F98" s="344"/>
      <c r="G98" s="344"/>
      <c r="H98" s="344"/>
      <c r="I98" s="344"/>
      <c r="J98" s="344"/>
    </row>
    <row r="99" spans="1:10" ht="15">
      <c r="E99" s="344"/>
      <c r="F99" s="344"/>
      <c r="G99" s="344"/>
      <c r="H99" s="344"/>
      <c r="I99" s="344"/>
      <c r="J99" s="344"/>
    </row>
    <row r="100" spans="1:10" ht="15">
      <c r="E100" s="344"/>
      <c r="F100" s="344"/>
      <c r="G100" s="344"/>
      <c r="H100" s="344"/>
      <c r="I100" s="344"/>
      <c r="J100" s="344"/>
    </row>
    <row r="101" spans="1:10" ht="15">
      <c r="E101" s="344"/>
      <c r="F101" s="344"/>
      <c r="G101" s="344"/>
      <c r="H101" s="344"/>
      <c r="I101" s="344"/>
      <c r="J101" s="344"/>
    </row>
    <row r="102" spans="1:10" ht="15">
      <c r="E102" s="344"/>
      <c r="F102" s="344"/>
      <c r="G102" s="344"/>
      <c r="H102" s="344"/>
      <c r="I102" s="344"/>
      <c r="J102" s="344"/>
    </row>
    <row r="103" spans="1:10" ht="15">
      <c r="E103" s="344"/>
      <c r="F103" s="344"/>
      <c r="G103" s="344"/>
      <c r="H103" s="344"/>
      <c r="I103" s="344"/>
      <c r="J103" s="344"/>
    </row>
    <row r="104" spans="1:10" ht="15">
      <c r="E104" s="344"/>
      <c r="F104" s="344"/>
      <c r="G104" s="344"/>
      <c r="H104" s="344"/>
      <c r="I104" s="344"/>
      <c r="J104" s="344"/>
    </row>
    <row r="105" spans="1:10" ht="14.85" customHeight="1">
      <c r="E105" s="344"/>
      <c r="F105" s="344"/>
      <c r="G105" s="344"/>
      <c r="H105" s="344"/>
      <c r="I105" s="344"/>
      <c r="J105" s="344"/>
    </row>
    <row r="106" spans="1:10" ht="14.85" customHeight="1">
      <c r="E106" s="344"/>
      <c r="F106" s="344"/>
      <c r="G106" s="344"/>
      <c r="H106" s="344"/>
      <c r="I106" s="344"/>
      <c r="J106" s="344"/>
    </row>
    <row r="107" spans="1:10" ht="14.85" customHeight="1"/>
    <row r="108" spans="1:10" ht="14.85" customHeight="1"/>
    <row r="109" spans="1:10" ht="14.85" customHeight="1"/>
    <row r="110" spans="1:10" ht="27" customHeight="1">
      <c r="E110" s="393"/>
      <c r="F110" s="393"/>
      <c r="G110" s="393"/>
      <c r="H110" s="394"/>
      <c r="I110" s="394"/>
      <c r="J110" s="394"/>
    </row>
    <row r="111" spans="1:10" ht="18" customHeight="1">
      <c r="B111" s="245"/>
      <c r="E111" s="344"/>
      <c r="F111" s="344"/>
      <c r="G111" s="344"/>
      <c r="H111" s="344"/>
      <c r="I111" s="344"/>
      <c r="J111" s="344"/>
    </row>
    <row r="112" spans="1:10" ht="14.85" customHeight="1">
      <c r="A112" s="403"/>
      <c r="B112" s="160"/>
      <c r="D112" s="344"/>
      <c r="E112" s="396"/>
      <c r="F112" s="396"/>
      <c r="G112" s="396"/>
      <c r="H112" s="396"/>
      <c r="I112" s="396"/>
      <c r="J112" s="396"/>
    </row>
    <row r="113" spans="1:10" ht="14.85" customHeight="1">
      <c r="A113" s="403"/>
      <c r="B113" s="160"/>
      <c r="D113" s="344"/>
      <c r="E113" s="397"/>
      <c r="F113" s="397"/>
      <c r="G113" s="397"/>
      <c r="H113" s="397"/>
      <c r="I113" s="397"/>
      <c r="J113" s="397"/>
    </row>
    <row r="114" spans="1:10" ht="14.85" customHeight="1">
      <c r="B114" s="344"/>
      <c r="D114" s="344"/>
      <c r="E114" s="344"/>
      <c r="F114" s="344"/>
      <c r="G114" s="344"/>
      <c r="H114" s="344"/>
      <c r="I114" s="344"/>
      <c r="J114" s="344"/>
    </row>
    <row r="115" spans="1:10" ht="14.85" customHeight="1">
      <c r="D115" s="344"/>
      <c r="E115" s="344"/>
      <c r="F115" s="344"/>
      <c r="G115" s="344"/>
      <c r="H115" s="344"/>
      <c r="I115" s="344"/>
      <c r="J115" s="344"/>
    </row>
    <row r="116" spans="1:10" ht="14.85" customHeight="1">
      <c r="D116" s="344"/>
      <c r="E116" s="396"/>
      <c r="F116" s="396"/>
      <c r="G116" s="396"/>
      <c r="H116" s="344"/>
      <c r="I116" s="344"/>
      <c r="J116" s="344"/>
    </row>
    <row r="117" spans="1:10" ht="14.85" customHeight="1">
      <c r="D117" s="344"/>
      <c r="E117" s="397"/>
      <c r="F117" s="397"/>
      <c r="G117" s="397"/>
      <c r="H117" s="397"/>
      <c r="I117" s="397"/>
      <c r="J117" s="397"/>
    </row>
    <row r="118" spans="1:10" ht="14.85" customHeight="1">
      <c r="E118" s="344"/>
      <c r="F118" s="344"/>
      <c r="G118" s="344"/>
      <c r="H118" s="397"/>
      <c r="I118" s="397"/>
      <c r="J118" s="397"/>
    </row>
    <row r="119" spans="1:10" ht="14.85" customHeight="1">
      <c r="D119" s="344"/>
      <c r="E119" s="344"/>
      <c r="F119" s="344"/>
      <c r="G119" s="344"/>
      <c r="H119" s="344"/>
      <c r="I119" s="344"/>
      <c r="J119" s="344"/>
    </row>
    <row r="120" spans="1:10" ht="14.85" customHeight="1">
      <c r="D120" s="344"/>
      <c r="E120" s="399"/>
      <c r="F120" s="399"/>
      <c r="G120" s="399"/>
      <c r="H120" s="399"/>
      <c r="I120" s="399"/>
      <c r="J120" s="399"/>
    </row>
    <row r="121" spans="1:10" ht="14.85" customHeight="1">
      <c r="D121" s="344"/>
      <c r="E121" s="344"/>
      <c r="F121" s="344"/>
      <c r="G121" s="344"/>
      <c r="H121" s="344"/>
      <c r="I121" s="344"/>
      <c r="J121" s="344"/>
    </row>
    <row r="122" spans="1:10" ht="14.85" customHeight="1">
      <c r="E122" s="344"/>
      <c r="F122" s="344"/>
      <c r="G122" s="344"/>
      <c r="H122" s="344"/>
      <c r="I122" s="344"/>
      <c r="J122" s="344"/>
    </row>
    <row r="123" spans="1:10" ht="14.85" customHeight="1">
      <c r="E123" s="344"/>
      <c r="F123" s="344"/>
      <c r="G123" s="344"/>
      <c r="H123" s="344"/>
      <c r="I123" s="344"/>
      <c r="J123" s="344"/>
    </row>
    <row r="124" spans="1:10" ht="14.85" customHeight="1">
      <c r="E124" s="344"/>
      <c r="F124" s="344"/>
      <c r="G124" s="344"/>
      <c r="H124" s="344"/>
      <c r="I124" s="344"/>
      <c r="J124" s="344"/>
    </row>
    <row r="125" spans="1:10" ht="14.85" customHeight="1">
      <c r="E125" s="344"/>
      <c r="F125" s="344"/>
      <c r="G125" s="344"/>
      <c r="H125" s="344"/>
      <c r="I125" s="344"/>
      <c r="J125" s="344"/>
    </row>
    <row r="126" spans="1:10" ht="14.85" customHeight="1">
      <c r="E126" s="344"/>
      <c r="F126" s="344"/>
      <c r="G126" s="344"/>
      <c r="H126" s="344"/>
      <c r="I126" s="344"/>
      <c r="J126" s="344"/>
    </row>
    <row r="127" spans="1:10" ht="14.85" customHeight="1">
      <c r="E127" s="344"/>
      <c r="F127" s="344"/>
      <c r="G127" s="344"/>
      <c r="H127" s="344"/>
      <c r="I127" s="344"/>
      <c r="J127" s="344"/>
    </row>
    <row r="128" spans="1:10" ht="14.85" customHeight="1">
      <c r="E128" s="344"/>
      <c r="F128" s="344"/>
      <c r="G128" s="344"/>
      <c r="H128" s="344"/>
      <c r="I128" s="344"/>
      <c r="J128" s="344"/>
    </row>
    <row r="129" spans="1:10" ht="14.85" customHeight="1">
      <c r="E129" s="344"/>
      <c r="F129" s="344"/>
      <c r="G129" s="344"/>
      <c r="H129" s="344"/>
      <c r="I129" s="344"/>
      <c r="J129" s="344"/>
    </row>
    <row r="130" spans="1:10" ht="14.85" customHeight="1"/>
    <row r="131" spans="1:10" ht="14.85" customHeight="1"/>
    <row r="132" spans="1:10" ht="14.85" customHeight="1"/>
    <row r="133" spans="1:10" ht="18.75" customHeight="1">
      <c r="E133" s="393"/>
      <c r="F133" s="393"/>
      <c r="G133" s="393"/>
      <c r="H133" s="394"/>
      <c r="I133" s="394"/>
      <c r="J133" s="394"/>
    </row>
    <row r="134" spans="1:10" ht="19.5" customHeight="1">
      <c r="B134" s="245"/>
      <c r="E134" s="344"/>
      <c r="F134" s="344"/>
      <c r="G134" s="344"/>
      <c r="H134" s="344"/>
      <c r="I134" s="344"/>
      <c r="J134" s="344"/>
    </row>
    <row r="135" spans="1:10" ht="14.85" customHeight="1">
      <c r="A135" s="403"/>
      <c r="B135" s="160"/>
      <c r="D135" s="344"/>
      <c r="E135" s="396"/>
      <c r="F135" s="396"/>
      <c r="G135" s="396"/>
      <c r="H135" s="396"/>
      <c r="I135" s="396"/>
      <c r="J135" s="396"/>
    </row>
    <row r="136" spans="1:10" ht="14.85" customHeight="1">
      <c r="A136" s="403"/>
      <c r="B136" s="160"/>
      <c r="D136" s="344"/>
      <c r="E136" s="397"/>
      <c r="F136" s="397"/>
      <c r="G136" s="397"/>
      <c r="H136" s="397"/>
      <c r="I136" s="397"/>
      <c r="J136" s="397"/>
    </row>
    <row r="137" spans="1:10" ht="14.85" customHeight="1">
      <c r="B137" s="344"/>
      <c r="D137" s="344"/>
      <c r="E137" s="344"/>
      <c r="F137" s="344"/>
      <c r="G137" s="344"/>
      <c r="H137" s="344"/>
      <c r="I137" s="344"/>
      <c r="J137" s="344"/>
    </row>
    <row r="138" spans="1:10" ht="14.85" customHeight="1">
      <c r="D138" s="344"/>
      <c r="E138" s="344"/>
      <c r="F138" s="344"/>
      <c r="G138" s="344"/>
      <c r="H138" s="344"/>
      <c r="I138" s="344"/>
      <c r="J138" s="344"/>
    </row>
    <row r="139" spans="1:10" ht="14.85" customHeight="1">
      <c r="D139" s="344"/>
      <c r="E139" s="396"/>
      <c r="F139" s="396"/>
      <c r="G139" s="396"/>
      <c r="H139" s="344"/>
      <c r="I139" s="344"/>
      <c r="J139" s="344"/>
    </row>
    <row r="140" spans="1:10" ht="14.85" customHeight="1">
      <c r="D140" s="344"/>
      <c r="E140" s="397"/>
      <c r="F140" s="397"/>
      <c r="G140" s="397"/>
      <c r="H140" s="397"/>
      <c r="I140" s="397"/>
      <c r="J140" s="397"/>
    </row>
    <row r="141" spans="1:10" ht="14.85" customHeight="1">
      <c r="E141" s="344"/>
      <c r="F141" s="344"/>
      <c r="G141" s="344"/>
      <c r="H141" s="397"/>
      <c r="I141" s="397"/>
      <c r="J141" s="397"/>
    </row>
    <row r="142" spans="1:10" ht="14.85" customHeight="1">
      <c r="D142" s="344"/>
      <c r="E142" s="344"/>
      <c r="F142" s="344"/>
      <c r="G142" s="344"/>
      <c r="H142" s="344"/>
      <c r="I142" s="344"/>
      <c r="J142" s="344"/>
    </row>
    <row r="143" spans="1:10" ht="14.85" customHeight="1">
      <c r="D143" s="344"/>
      <c r="E143" s="399"/>
      <c r="F143" s="399"/>
      <c r="G143" s="399"/>
      <c r="H143" s="399"/>
      <c r="I143" s="399"/>
      <c r="J143" s="399"/>
    </row>
    <row r="144" spans="1:10" ht="14.85" customHeight="1">
      <c r="D144" s="344"/>
      <c r="E144" s="344"/>
      <c r="F144" s="344"/>
      <c r="G144" s="344"/>
      <c r="H144" s="344"/>
      <c r="I144" s="344"/>
      <c r="J144" s="344"/>
    </row>
    <row r="145" spans="1:10" ht="14.85" customHeight="1">
      <c r="E145" s="344"/>
      <c r="F145" s="344"/>
      <c r="G145" s="344"/>
      <c r="H145" s="344"/>
      <c r="I145" s="344"/>
      <c r="J145" s="344"/>
    </row>
    <row r="146" spans="1:10" ht="14.85" customHeight="1">
      <c r="E146" s="344"/>
      <c r="F146" s="344"/>
      <c r="G146" s="344"/>
      <c r="H146" s="344"/>
      <c r="I146" s="344"/>
      <c r="J146" s="344"/>
    </row>
    <row r="147" spans="1:10" ht="14.85" customHeight="1">
      <c r="E147" s="344"/>
      <c r="F147" s="344"/>
      <c r="G147" s="344"/>
      <c r="H147" s="344"/>
      <c r="I147" s="344"/>
      <c r="J147" s="344"/>
    </row>
    <row r="148" spans="1:10" ht="14.85" customHeight="1">
      <c r="E148" s="344"/>
      <c r="F148" s="344"/>
      <c r="G148" s="344"/>
      <c r="H148" s="344"/>
      <c r="I148" s="344"/>
      <c r="J148" s="344"/>
    </row>
    <row r="149" spans="1:10" ht="14.85" customHeight="1">
      <c r="E149" s="344"/>
      <c r="F149" s="344"/>
      <c r="G149" s="344"/>
      <c r="H149" s="344"/>
      <c r="I149" s="344"/>
      <c r="J149" s="344"/>
    </row>
    <row r="150" spans="1:10" ht="14.85" customHeight="1">
      <c r="E150" s="344"/>
      <c r="F150" s="344"/>
      <c r="G150" s="344"/>
      <c r="H150" s="344"/>
      <c r="I150" s="344"/>
      <c r="J150" s="344"/>
    </row>
    <row r="151" spans="1:10" ht="14.85" customHeight="1">
      <c r="E151" s="344"/>
      <c r="F151" s="344"/>
      <c r="G151" s="344"/>
      <c r="H151" s="344"/>
      <c r="I151" s="344"/>
      <c r="J151" s="344"/>
    </row>
    <row r="152" spans="1:10" ht="14.85" customHeight="1">
      <c r="E152" s="344"/>
      <c r="F152" s="344"/>
      <c r="G152" s="344"/>
      <c r="H152" s="344"/>
      <c r="I152" s="344"/>
      <c r="J152" s="344"/>
    </row>
    <row r="153" spans="1:10" ht="14.85" customHeight="1"/>
    <row r="154" spans="1:10" ht="14.85" customHeight="1"/>
    <row r="155" spans="1:10" ht="14.85" customHeight="1"/>
    <row r="156" spans="1:10" ht="23.25" customHeight="1">
      <c r="E156" s="393"/>
      <c r="F156" s="393"/>
      <c r="G156" s="393"/>
      <c r="H156" s="394"/>
      <c r="I156" s="394"/>
      <c r="J156" s="394"/>
    </row>
    <row r="157" spans="1:10" ht="14.85" customHeight="1">
      <c r="B157" s="245"/>
      <c r="E157" s="344"/>
      <c r="F157" s="344"/>
      <c r="G157" s="344"/>
      <c r="H157" s="344"/>
      <c r="I157" s="344"/>
      <c r="J157" s="344"/>
    </row>
    <row r="158" spans="1:10" ht="14.85" customHeight="1">
      <c r="A158" s="403"/>
      <c r="B158" s="160"/>
      <c r="D158" s="344"/>
      <c r="E158" s="396"/>
      <c r="F158" s="396"/>
      <c r="G158" s="396"/>
      <c r="H158" s="396"/>
      <c r="I158" s="396"/>
      <c r="J158" s="396"/>
    </row>
    <row r="159" spans="1:10" ht="14.85" customHeight="1">
      <c r="A159" s="403"/>
      <c r="B159" s="160"/>
      <c r="D159" s="344"/>
      <c r="E159" s="397"/>
      <c r="F159" s="397"/>
      <c r="G159" s="397"/>
      <c r="H159" s="397"/>
      <c r="I159" s="397"/>
      <c r="J159" s="397"/>
    </row>
    <row r="160" spans="1:10" ht="14.85" customHeight="1">
      <c r="B160" s="344"/>
      <c r="D160" s="344"/>
      <c r="E160" s="344"/>
      <c r="F160" s="344"/>
      <c r="G160" s="344"/>
      <c r="H160" s="344"/>
      <c r="I160" s="344"/>
      <c r="J160" s="344"/>
    </row>
    <row r="161" spans="4:10" ht="14.85" customHeight="1">
      <c r="D161" s="344"/>
      <c r="E161" s="344"/>
      <c r="F161" s="344"/>
      <c r="G161" s="344"/>
      <c r="H161" s="344"/>
      <c r="I161" s="344"/>
      <c r="J161" s="344"/>
    </row>
    <row r="162" spans="4:10" ht="14.85" customHeight="1">
      <c r="D162" s="344"/>
      <c r="E162" s="396"/>
      <c r="F162" s="396"/>
      <c r="G162" s="396"/>
      <c r="H162" s="344"/>
      <c r="I162" s="344"/>
      <c r="J162" s="344"/>
    </row>
    <row r="163" spans="4:10" ht="14.85" customHeight="1">
      <c r="D163" s="344"/>
      <c r="E163" s="397"/>
      <c r="F163" s="397"/>
      <c r="G163" s="397"/>
      <c r="H163" s="397"/>
      <c r="I163" s="397"/>
      <c r="J163" s="397"/>
    </row>
    <row r="164" spans="4:10" ht="14.85" customHeight="1">
      <c r="E164" s="344"/>
      <c r="F164" s="344"/>
      <c r="G164" s="344"/>
      <c r="H164" s="397"/>
      <c r="I164" s="397"/>
      <c r="J164" s="397"/>
    </row>
    <row r="165" spans="4:10" ht="14.85" customHeight="1">
      <c r="D165" s="344"/>
      <c r="E165" s="344"/>
      <c r="F165" s="344"/>
      <c r="G165" s="344"/>
      <c r="H165" s="344"/>
      <c r="I165" s="344"/>
      <c r="J165" s="344"/>
    </row>
    <row r="166" spans="4:10" ht="14.85" customHeight="1">
      <c r="D166" s="344"/>
      <c r="E166" s="399"/>
      <c r="F166" s="399"/>
      <c r="G166" s="399"/>
      <c r="H166" s="399"/>
      <c r="I166" s="399"/>
      <c r="J166" s="399"/>
    </row>
    <row r="167" spans="4:10" ht="14.85" customHeight="1">
      <c r="D167" s="344"/>
      <c r="E167" s="344"/>
      <c r="F167" s="344"/>
      <c r="G167" s="344"/>
      <c r="H167" s="344"/>
      <c r="I167" s="344"/>
      <c r="J167" s="344"/>
    </row>
    <row r="168" spans="4:10" ht="14.85" customHeight="1">
      <c r="E168" s="344"/>
      <c r="F168" s="344"/>
      <c r="G168" s="344"/>
      <c r="H168" s="344"/>
      <c r="I168" s="344"/>
      <c r="J168" s="344"/>
    </row>
    <row r="169" spans="4:10" ht="14.85" customHeight="1">
      <c r="E169" s="344"/>
      <c r="F169" s="344"/>
      <c r="G169" s="344"/>
      <c r="H169" s="344"/>
      <c r="I169" s="344"/>
      <c r="J169" s="344"/>
    </row>
    <row r="170" spans="4:10" ht="14.85" customHeight="1">
      <c r="E170" s="344"/>
      <c r="F170" s="344"/>
      <c r="G170" s="344"/>
      <c r="H170" s="344"/>
      <c r="I170" s="344"/>
      <c r="J170" s="344"/>
    </row>
    <row r="171" spans="4:10" ht="14.85" customHeight="1">
      <c r="E171" s="344"/>
      <c r="F171" s="344"/>
      <c r="G171" s="344"/>
      <c r="H171" s="344"/>
      <c r="I171" s="344"/>
      <c r="J171" s="344"/>
    </row>
    <row r="172" spans="4:10" ht="14.85" customHeight="1">
      <c r="E172" s="344"/>
      <c r="F172" s="344"/>
      <c r="G172" s="344"/>
      <c r="H172" s="344"/>
      <c r="I172" s="344"/>
      <c r="J172" s="344"/>
    </row>
    <row r="173" spans="4:10" ht="14.85" customHeight="1">
      <c r="E173" s="344"/>
      <c r="F173" s="344"/>
      <c r="G173" s="344"/>
      <c r="H173" s="344"/>
      <c r="I173" s="344"/>
      <c r="J173" s="344"/>
    </row>
    <row r="174" spans="4:10" ht="14.85" customHeight="1">
      <c r="E174" s="344"/>
      <c r="F174" s="344"/>
      <c r="G174" s="344"/>
      <c r="H174" s="344"/>
      <c r="I174" s="344"/>
      <c r="J174" s="344"/>
    </row>
    <row r="175" spans="4:10" ht="14.85" customHeight="1">
      <c r="E175" s="344"/>
      <c r="F175" s="344"/>
      <c r="G175" s="344"/>
      <c r="H175" s="344"/>
      <c r="I175" s="344"/>
      <c r="J175" s="344"/>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91" priority="66">
      <formula>$E$133=$E$143</formula>
    </cfRule>
  </conditionalFormatting>
  <conditionalFormatting sqref="E166">
    <cfRule type="expression" dxfId="90" priority="46">
      <formula>$E$133=$E$143</formula>
    </cfRule>
  </conditionalFormatting>
  <conditionalFormatting sqref="E141:G141">
    <cfRule type="containsText" dxfId="89" priority="53" operator="containsText" text="balík">
      <formula>NOT(ISERROR(SEARCH("balík",E141)))</formula>
    </cfRule>
  </conditionalFormatting>
  <conditionalFormatting sqref="E164:G164">
    <cfRule type="containsText" dxfId="88" priority="41" operator="containsText" text="balík">
      <formula>NOT(ISERROR(SEARCH("balík",E164)))</formula>
    </cfRule>
  </conditionalFormatting>
  <conditionalFormatting sqref="E83:J83 F84">
    <cfRule type="containsText" dxfId="87" priority="92" operator="containsText" text="výsledn">
      <formula>NOT(ISERROR(SEARCH("výsledn",E83)))</formula>
    </cfRule>
  </conditionalFormatting>
  <conditionalFormatting sqref="E91:J91">
    <cfRule type="containsText" dxfId="86" priority="62" operator="containsText" text="paleta">
      <formula>NOT(ISERROR(SEARCH("paleta",E91)))</formula>
    </cfRule>
    <cfRule type="containsText" dxfId="85" priority="63" operator="containsText" text="balík">
      <formula>NOT(ISERROR(SEARCH("balík",E91)))</formula>
    </cfRule>
  </conditionalFormatting>
  <conditionalFormatting sqref="E129:J129">
    <cfRule type="containsText" dxfId="84" priority="77" operator="containsText" text="výsledn">
      <formula>NOT(ISERROR(SEARCH("výsledn",E129)))</formula>
    </cfRule>
  </conditionalFormatting>
  <conditionalFormatting sqref="E137:J137">
    <cfRule type="containsText" dxfId="83" priority="51" operator="containsText" text="paleta">
      <formula>NOT(ISERROR(SEARCH("paleta",E137)))</formula>
    </cfRule>
    <cfRule type="containsText" dxfId="82" priority="52" operator="containsText" text="balík">
      <formula>NOT(ISERROR(SEARCH("balík",E137)))</formula>
    </cfRule>
  </conditionalFormatting>
  <conditionalFormatting sqref="E152:J152">
    <cfRule type="containsText" dxfId="81" priority="70" operator="containsText" text="výsledn">
      <formula>NOT(ISERROR(SEARCH("výsledn",E152)))</formula>
    </cfRule>
  </conditionalFormatting>
  <conditionalFormatting sqref="E160:J160">
    <cfRule type="containsText" dxfId="80" priority="39" operator="containsText" text="paleta">
      <formula>NOT(ISERROR(SEARCH("paleta",E160)))</formula>
    </cfRule>
    <cfRule type="containsText" dxfId="79" priority="40" operator="containsText" text="balík">
      <formula>NOT(ISERROR(SEARCH("balík",E160)))</formula>
    </cfRule>
  </conditionalFormatting>
  <conditionalFormatting sqref="E175:J175">
    <cfRule type="containsText" dxfId="78" priority="50" operator="containsText" text="výsledn">
      <formula>NOT(ISERROR(SEARCH("výsledn",E175)))</formula>
    </cfRule>
  </conditionalFormatting>
  <conditionalFormatting sqref="F82">
    <cfRule type="expression" dxfId="77" priority="83">
      <formula>F83="výsledná zásilka"</formula>
    </cfRule>
  </conditionalFormatting>
  <conditionalFormatting sqref="F128">
    <cfRule type="expression" dxfId="76" priority="71">
      <formula>F129="výsledná zásilka"</formula>
    </cfRule>
  </conditionalFormatting>
  <conditionalFormatting sqref="F143">
    <cfRule type="expression" dxfId="75" priority="69">
      <formula>$F$133=$F$143</formula>
    </cfRule>
  </conditionalFormatting>
  <conditionalFormatting sqref="F166">
    <cfRule type="expression" dxfId="74" priority="49">
      <formula>$F$133=$F$143</formula>
    </cfRule>
  </conditionalFormatting>
  <conditionalFormatting sqref="F174">
    <cfRule type="expression" dxfId="73" priority="44">
      <formula>F175="výsledná zásilka"</formula>
    </cfRule>
  </conditionalFormatting>
  <conditionalFormatting sqref="G143">
    <cfRule type="expression" dxfId="72" priority="65">
      <formula>$G$133=$G$143</formula>
    </cfRule>
  </conditionalFormatting>
  <conditionalFormatting sqref="G166">
    <cfRule type="expression" dxfId="71" priority="43">
      <formula>$G$133=$G$143</formula>
    </cfRule>
  </conditionalFormatting>
  <conditionalFormatting sqref="H82">
    <cfRule type="expression" dxfId="70" priority="84">
      <formula>H83="výsledná zásilka"</formula>
    </cfRule>
  </conditionalFormatting>
  <conditionalFormatting sqref="H128">
    <cfRule type="expression" dxfId="69" priority="72">
      <formula>H129="výsledná zásilka"</formula>
    </cfRule>
  </conditionalFormatting>
  <conditionalFormatting sqref="H143">
    <cfRule type="expression" dxfId="68" priority="68">
      <formula>$H$143=$H$133</formula>
    </cfRule>
  </conditionalFormatting>
  <conditionalFormatting sqref="H166">
    <cfRule type="expression" dxfId="67" priority="48">
      <formula>$H$143=$H$133</formula>
    </cfRule>
  </conditionalFormatting>
  <conditionalFormatting sqref="H174">
    <cfRule type="expression" dxfId="66" priority="45">
      <formula>H175="výsledná zásilka"</formula>
    </cfRule>
  </conditionalFormatting>
  <conditionalFormatting sqref="I143">
    <cfRule type="expression" dxfId="65" priority="64">
      <formula>$I$133=$I$143</formula>
    </cfRule>
  </conditionalFormatting>
  <conditionalFormatting sqref="I166">
    <cfRule type="expression" dxfId="64" priority="42">
      <formula>$I$133=$I$143</formula>
    </cfRule>
  </conditionalFormatting>
  <conditionalFormatting sqref="J143">
    <cfRule type="expression" dxfId="63" priority="67">
      <formula>$J$74=$J$54</formula>
    </cfRule>
  </conditionalFormatting>
  <conditionalFormatting sqref="J166">
    <cfRule type="expression" dxfId="62" priority="47">
      <formula>$J$74=$J$54</formula>
    </cfRule>
  </conditionalFormatting>
  <conditionalFormatting sqref="N42:R47">
    <cfRule type="cellIs" dxfId="61" priority="1" operator="equal">
      <formula>"ne"</formula>
    </cfRule>
  </conditionalFormatting>
  <conditionalFormatting sqref="U42:U47">
    <cfRule type="containsText" dxfId="60" priority="2" operator="containsText" text="pale">
      <formula>NOT(ISERROR(SEARCH("pale",U42)))</formula>
    </cfRule>
  </conditionalFormatting>
  <conditionalFormatting sqref="W39">
    <cfRule type="cellIs" dxfId="59" priority="9" operator="lessThan">
      <formula>0</formula>
    </cfRule>
    <cfRule type="cellIs" dxfId="58" priority="10" operator="greaterThan">
      <formula>0</formula>
    </cfRule>
  </conditionalFormatting>
  <conditionalFormatting sqref="W42:W47">
    <cfRule type="cellIs" dxfId="57" priority="5" operator="equal">
      <formula>0</formula>
    </cfRule>
  </conditionalFormatting>
  <conditionalFormatting sqref="X39">
    <cfRule type="containsText" dxfId="56" priority="11" operator="containsText" text="pře">
      <formula>NOT(ISERROR(SEARCH("pře",X39)))</formula>
    </cfRule>
  </conditionalFormatting>
  <conditionalFormatting sqref="AA58">
    <cfRule type="expression" dxfId="55" priority="16">
      <formula>$AA$58=$AG$58</formula>
    </cfRule>
  </conditionalFormatting>
  <conditionalFormatting sqref="AA42:AF42 AA43:AA47 AC43:AF47">
    <cfRule type="duplicateValues" dxfId="54" priority="26"/>
  </conditionalFormatting>
  <conditionalFormatting sqref="AA42:AF47">
    <cfRule type="cellIs" dxfId="53" priority="20" operator="equal">
      <formula>0</formula>
    </cfRule>
  </conditionalFormatting>
  <conditionalFormatting sqref="AA43:AF43 AA44:AA47">
    <cfRule type="duplicateValues" dxfId="52" priority="25"/>
  </conditionalFormatting>
  <conditionalFormatting sqref="AA44:AF44 AA45:AA47">
    <cfRule type="duplicateValues" dxfId="51" priority="24"/>
  </conditionalFormatting>
  <conditionalFormatting sqref="AA45:AF45">
    <cfRule type="duplicateValues" dxfId="50" priority="23"/>
  </conditionalFormatting>
  <conditionalFormatting sqref="AA46:AF46">
    <cfRule type="duplicateValues" dxfId="49" priority="22"/>
  </conditionalFormatting>
  <conditionalFormatting sqref="AA47:AF47">
    <cfRule type="duplicateValues" dxfId="48" priority="21"/>
  </conditionalFormatting>
  <conditionalFormatting sqref="AA58:AF58">
    <cfRule type="cellIs" dxfId="47" priority="17" operator="equal">
      <formula>0</formula>
    </cfRule>
  </conditionalFormatting>
  <conditionalFormatting sqref="AC58">
    <cfRule type="expression" dxfId="46" priority="15">
      <formula>$AC$58=$AG$58</formula>
    </cfRule>
  </conditionalFormatting>
  <conditionalFormatting sqref="AD58">
    <cfRule type="expression" dxfId="45" priority="768">
      <formula>$AD$58=$AH$69</formula>
    </cfRule>
    <cfRule type="expression" dxfId="44" priority="769">
      <formula>$AD$58=$AG$58</formula>
    </cfRule>
  </conditionalFormatting>
  <conditionalFormatting sqref="AE58">
    <cfRule type="expression" dxfId="43" priority="770">
      <formula>$AE$58=$AH$69</formula>
    </cfRule>
    <cfRule type="expression" dxfId="42" priority="771">
      <formula>$AE$58=$AG$58</formula>
    </cfRule>
  </conditionalFormatting>
  <conditionalFormatting sqref="AF58">
    <cfRule type="expression" dxfId="41" priority="772">
      <formula>$AF$58=$AH$69</formula>
    </cfRule>
    <cfRule type="expression" dxfId="40" priority="773">
      <formula>$AF$58=$AG$58</formula>
    </cfRule>
  </conditionalFormatting>
  <conditionalFormatting sqref="AF71:AF72">
    <cfRule type="cellIs" dxfId="39" priority="774" operator="equal">
      <formula>0</formula>
    </cfRule>
    <cfRule type="cellIs" dxfId="38"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37" priority="31" operator="containsText" text="balík">
      <formula>NOT(ISERROR(SEARCH("balík",AQ37)))</formula>
    </cfRule>
  </conditionalFormatting>
  <conditionalFormatting sqref="AQ33:AV33">
    <cfRule type="containsText" dxfId="36" priority="32" operator="containsText" text="paleta">
      <formula>NOT(ISERROR(SEARCH("paleta",AQ33)))</formula>
    </cfRule>
    <cfRule type="containsText" dxfId="35" priority="33" operator="containsText" text="balík">
      <formula>NOT(ISERROR(SEARCH("balík",AQ33)))</formula>
    </cfRule>
  </conditionalFormatting>
  <conditionalFormatting sqref="AQ50:AV50">
    <cfRule type="containsText" dxfId="34" priority="35" operator="containsText" text="výsledn">
      <formula>NOT(ISERROR(SEARCH("výsledn",AQ50)))</formula>
    </cfRule>
  </conditionalFormatting>
  <conditionalFormatting sqref="BB37:BD37">
    <cfRule type="containsText" dxfId="33" priority="28" operator="containsText" text="balík">
      <formula>NOT(ISERROR(SEARCH("balík",BB37)))</formula>
    </cfRule>
  </conditionalFormatting>
  <conditionalFormatting sqref="BB33:BG33">
    <cfRule type="containsText" dxfId="32" priority="29" operator="containsText" text="paleta">
      <formula>NOT(ISERROR(SEARCH("paleta",BB33)))</formula>
    </cfRule>
    <cfRule type="containsText" dxfId="31" priority="30" operator="containsText" text="balík">
      <formula>NOT(ISERROR(SEARCH("balík",BB33)))</formula>
    </cfRule>
  </conditionalFormatting>
  <conditionalFormatting sqref="BB50:BG50">
    <cfRule type="containsText" dxfId="30"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election activeCell="AD31" sqref="AD31"/>
    </sheetView>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44"/>
      <c r="E1" s="344"/>
      <c r="F1" s="344"/>
      <c r="G1" s="344"/>
      <c r="H1" s="344"/>
      <c r="I1" s="344"/>
      <c r="J1" s="344"/>
      <c r="T1" s="1"/>
      <c r="U1" s="1"/>
      <c r="V1" s="1"/>
      <c r="W1" s="1"/>
      <c r="AC1" s="400"/>
    </row>
    <row r="2" spans="1:32" ht="15.75" outlineLevel="1" thickBot="1">
      <c r="E2" s="344"/>
      <c r="F2" s="344"/>
      <c r="G2" s="344"/>
      <c r="H2" s="344"/>
      <c r="I2" s="344"/>
      <c r="J2" s="344"/>
      <c r="M2" s="12">
        <f>IF(Zakaznik!K23="Dostawa na adres",Hlavní!V39,0)</f>
        <v>0</v>
      </c>
      <c r="X2" s="12"/>
    </row>
    <row r="3" spans="1:32" ht="24" outlineLevel="4" thickBot="1">
      <c r="E3" s="344"/>
      <c r="F3" s="344"/>
      <c r="G3" s="344"/>
      <c r="H3" s="344"/>
      <c r="I3" s="344"/>
      <c r="J3" s="344"/>
      <c r="O3" s="789"/>
      <c r="P3" s="789"/>
      <c r="Y3" s="318"/>
      <c r="AC3" s="429" t="s">
        <v>3609</v>
      </c>
      <c r="AD3" s="430"/>
      <c r="AE3" s="431"/>
    </row>
    <row r="4" spans="1:32" ht="15" outlineLevel="4">
      <c r="E4" s="344"/>
      <c r="F4" s="344"/>
      <c r="G4" s="344"/>
      <c r="H4" s="344"/>
      <c r="I4" s="344"/>
      <c r="J4" s="344"/>
      <c r="Y4" s="457"/>
      <c r="AC4" s="341" t="s">
        <v>3610</v>
      </c>
      <c r="AD4" s="467" t="s">
        <v>4444</v>
      </c>
      <c r="AE4" s="342" t="s">
        <v>4445</v>
      </c>
    </row>
    <row r="5" spans="1:32" ht="15" outlineLevel="4">
      <c r="E5" s="344"/>
      <c r="F5" s="344"/>
      <c r="G5" s="344"/>
      <c r="H5" s="344"/>
      <c r="I5" s="344"/>
      <c r="J5" s="344"/>
      <c r="Y5" s="10"/>
      <c r="AC5" s="339" t="s">
        <v>3624</v>
      </c>
      <c r="AD5" s="336" t="s">
        <v>4443</v>
      </c>
      <c r="AE5" s="343" t="s">
        <v>4449</v>
      </c>
    </row>
    <row r="6" spans="1:32" ht="15.75" outlineLevel="4" thickBot="1">
      <c r="E6" s="344"/>
      <c r="F6" s="344"/>
      <c r="G6" s="344"/>
      <c r="H6" s="344"/>
      <c r="I6" s="344"/>
      <c r="J6" s="344"/>
      <c r="Y6" s="10"/>
      <c r="AC6" s="322" t="s">
        <v>4359</v>
      </c>
      <c r="AD6" s="425" t="s">
        <v>4398</v>
      </c>
      <c r="AE6" s="340" t="s">
        <v>4399</v>
      </c>
    </row>
    <row r="7" spans="1:32" ht="15" outlineLevel="4">
      <c r="E7" s="344"/>
      <c r="F7" s="344"/>
      <c r="G7" s="344"/>
      <c r="H7" s="344"/>
      <c r="I7" s="344"/>
      <c r="J7" s="344"/>
    </row>
    <row r="8" spans="1:32" ht="15" outlineLevel="4">
      <c r="E8" s="344"/>
      <c r="F8" s="344"/>
      <c r="G8" s="344"/>
      <c r="H8" s="344"/>
      <c r="I8" s="344"/>
      <c r="J8" s="344"/>
    </row>
    <row r="9" spans="1:32" ht="15" outlineLevel="4">
      <c r="E9" s="344"/>
      <c r="F9" s="344"/>
      <c r="G9" s="344"/>
      <c r="H9" s="344"/>
      <c r="I9" s="344"/>
      <c r="J9" s="344"/>
      <c r="Z9" s="344"/>
      <c r="AA9" s="344"/>
      <c r="AB9" s="344"/>
      <c r="AC9" s="344"/>
      <c r="AD9" s="344"/>
    </row>
    <row r="10" spans="1:32" ht="15" outlineLevel="4">
      <c r="Z10" s="433"/>
      <c r="AA10" s="433"/>
      <c r="AB10" s="433"/>
      <c r="AC10" s="433">
        <v>1400</v>
      </c>
      <c r="AD10" s="433">
        <v>2850</v>
      </c>
    </row>
    <row r="11" spans="1:32" ht="15.75" outlineLevel="4">
      <c r="Y11" s="266"/>
      <c r="Z11" s="433"/>
      <c r="AA11" s="433"/>
      <c r="AB11" s="433"/>
      <c r="AC11" s="433">
        <v>0</v>
      </c>
      <c r="AD11" s="433">
        <v>1401</v>
      </c>
    </row>
    <row r="12" spans="1:32" ht="15.75">
      <c r="X12" s="266"/>
      <c r="Y12" s="1" t="s">
        <v>4363</v>
      </c>
      <c r="Z12" s="434"/>
      <c r="AA12" s="434"/>
      <c r="AB12" s="434"/>
      <c r="AC12" s="434">
        <v>35</v>
      </c>
      <c r="AD12" s="434">
        <v>71</v>
      </c>
    </row>
    <row r="13" spans="1:32" ht="21">
      <c r="E13" s="393"/>
      <c r="F13" s="393"/>
      <c r="G13" s="393"/>
      <c r="H13" s="394"/>
      <c r="I13" s="394"/>
      <c r="J13" s="394"/>
      <c r="V13" s="12">
        <f>V14-20</f>
        <v>-20</v>
      </c>
      <c r="W13" s="12" t="str">
        <f>IF(V13&gt;0,"přebývá!","")</f>
        <v/>
      </c>
      <c r="Z13" s="435"/>
      <c r="AA13" s="435"/>
      <c r="AB13" s="435"/>
      <c r="AC13" s="435" t="s">
        <v>4394</v>
      </c>
      <c r="AD13" s="435" t="s">
        <v>4395</v>
      </c>
    </row>
    <row r="14" spans="1:32" ht="26.25" customHeight="1">
      <c r="B14" s="245"/>
      <c r="E14" s="344"/>
      <c r="F14" s="344"/>
      <c r="G14" s="344"/>
      <c r="H14" s="344"/>
      <c r="I14" s="344"/>
      <c r="J14" s="344"/>
      <c r="T14" s="790" t="s">
        <v>4373</v>
      </c>
      <c r="V14" s="12">
        <f>SUM(V16:V21)</f>
        <v>0</v>
      </c>
      <c r="Y14" s="1" t="s">
        <v>4369</v>
      </c>
      <c r="Z14" s="344"/>
      <c r="AA14" s="344"/>
      <c r="AB14" s="344"/>
      <c r="AC14" s="344">
        <v>12</v>
      </c>
      <c r="AD14" s="344">
        <v>6</v>
      </c>
      <c r="AF14" s="1">
        <v>14</v>
      </c>
    </row>
    <row r="15" spans="1:32" ht="15.75">
      <c r="A15" s="403"/>
      <c r="B15" s="160"/>
      <c r="D15" s="344"/>
      <c r="E15" s="396"/>
      <c r="F15" s="396"/>
      <c r="G15" s="396"/>
      <c r="H15" s="396"/>
      <c r="I15" s="396"/>
      <c r="J15" s="396"/>
      <c r="M15" s="12" t="s">
        <v>4370</v>
      </c>
      <c r="S15" s="12" t="s">
        <v>4400</v>
      </c>
      <c r="T15" s="790"/>
      <c r="V15" s="12" t="s">
        <v>4374</v>
      </c>
      <c r="W15" s="12" t="s">
        <v>4375</v>
      </c>
      <c r="X15" s="1" t="s">
        <v>4375</v>
      </c>
      <c r="Y15" s="266" t="s">
        <v>4403</v>
      </c>
      <c r="AC15" s="1">
        <f>CEILING(SUM(AC16:AC21)/AC14,1)</f>
        <v>0</v>
      </c>
      <c r="AD15" s="1">
        <f>CEILING(SUM(AD16:AD21)/AD14,1)</f>
        <v>0</v>
      </c>
      <c r="AF15" s="1">
        <v>15</v>
      </c>
    </row>
    <row r="16" spans="1:32" ht="18" customHeight="1">
      <c r="A16" s="403"/>
      <c r="B16" s="160"/>
      <c r="D16" s="344"/>
      <c r="E16" s="397"/>
      <c r="F16" s="397"/>
      <c r="G16" s="397"/>
      <c r="H16" s="397"/>
      <c r="I16" s="397"/>
      <c r="J16" s="397"/>
      <c r="M16" s="12" t="s">
        <v>4376</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4376</v>
      </c>
      <c r="Z16" s="8"/>
      <c r="AA16" s="8"/>
      <c r="AB16" s="8"/>
      <c r="AC16" s="8">
        <f t="shared" ref="AC16:AC21" si="0">IF($M$2&lt;&gt;3,0,IFERROR((IF(T16=$AC$13,V16,0)),0))</f>
        <v>0</v>
      </c>
      <c r="AD16" s="8">
        <f t="shared" ref="AD16:AD21" si="1">IF($M$2&lt;&gt;3,0,IFERROR((IF(T16=$AD$13,V16,0)),0))</f>
        <v>0</v>
      </c>
      <c r="AE16" s="12" t="s">
        <v>4376</v>
      </c>
      <c r="AF16" s="1">
        <v>16</v>
      </c>
    </row>
    <row r="17" spans="1:58" ht="15">
      <c r="B17" s="344"/>
      <c r="D17" s="344"/>
      <c r="E17" s="344"/>
      <c r="F17" s="344"/>
      <c r="G17" s="344"/>
      <c r="H17" s="344"/>
      <c r="I17" s="344"/>
      <c r="J17" s="344"/>
      <c r="M17" s="12" t="s">
        <v>4377</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4377</v>
      </c>
      <c r="Z17" s="8"/>
      <c r="AA17" s="8"/>
      <c r="AB17" s="8"/>
      <c r="AC17" s="8">
        <f t="shared" si="0"/>
        <v>0</v>
      </c>
      <c r="AD17" s="8">
        <f t="shared" si="1"/>
        <v>0</v>
      </c>
      <c r="AE17" s="12" t="s">
        <v>4377</v>
      </c>
      <c r="AF17" s="1">
        <v>17</v>
      </c>
    </row>
    <row r="18" spans="1:58" ht="15">
      <c r="D18" s="344"/>
      <c r="E18" s="344"/>
      <c r="F18" s="344"/>
      <c r="G18" s="344"/>
      <c r="H18" s="344"/>
      <c r="I18" s="344"/>
      <c r="J18" s="344"/>
      <c r="M18" s="12" t="s">
        <v>4378</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4378</v>
      </c>
      <c r="Z18" s="8"/>
      <c r="AA18" s="8"/>
      <c r="AB18" s="8"/>
      <c r="AC18" s="8">
        <f t="shared" si="0"/>
        <v>0</v>
      </c>
      <c r="AD18" s="8">
        <f t="shared" si="1"/>
        <v>0</v>
      </c>
      <c r="AE18" s="12" t="s">
        <v>4378</v>
      </c>
      <c r="AF18" s="1">
        <v>18</v>
      </c>
    </row>
    <row r="19" spans="1:58" ht="16.5" customHeight="1">
      <c r="D19" s="344"/>
      <c r="E19" s="396"/>
      <c r="F19" s="396"/>
      <c r="G19" s="396"/>
      <c r="H19" s="344"/>
      <c r="I19" s="344"/>
      <c r="J19" s="344"/>
      <c r="M19" s="12" t="s">
        <v>4379</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4379</v>
      </c>
      <c r="Z19" s="8"/>
      <c r="AA19" s="8"/>
      <c r="AB19" s="8"/>
      <c r="AC19" s="8">
        <f t="shared" si="0"/>
        <v>0</v>
      </c>
      <c r="AD19" s="8">
        <f t="shared" si="1"/>
        <v>0</v>
      </c>
      <c r="AE19" s="12" t="s">
        <v>4379</v>
      </c>
      <c r="AF19" s="1">
        <v>19</v>
      </c>
    </row>
    <row r="20" spans="1:58" ht="16.5" customHeight="1">
      <c r="D20" s="344"/>
      <c r="E20" s="397"/>
      <c r="F20" s="397"/>
      <c r="G20" s="397"/>
      <c r="H20" s="397"/>
      <c r="I20" s="397"/>
      <c r="J20" s="397"/>
      <c r="M20" s="12" t="s">
        <v>4380</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4380</v>
      </c>
      <c r="Z20" s="8"/>
      <c r="AA20" s="8"/>
      <c r="AB20" s="8"/>
      <c r="AC20" s="8">
        <f t="shared" si="0"/>
        <v>0</v>
      </c>
      <c r="AD20" s="8">
        <f t="shared" si="1"/>
        <v>0</v>
      </c>
      <c r="AE20" s="12" t="s">
        <v>4380</v>
      </c>
      <c r="AF20" s="1">
        <v>20</v>
      </c>
    </row>
    <row r="21" spans="1:58" ht="15">
      <c r="E21" s="344"/>
      <c r="F21" s="344"/>
      <c r="G21" s="344"/>
      <c r="H21" s="397"/>
      <c r="I21" s="397"/>
      <c r="J21" s="397"/>
      <c r="M21" s="12" t="s">
        <v>4381</v>
      </c>
      <c r="N21" s="12" t="str">
        <f t="shared" si="2"/>
        <v>ne</v>
      </c>
      <c r="O21" s="12" t="str">
        <f t="shared" si="3"/>
        <v>ne</v>
      </c>
      <c r="S21" s="12">
        <f>MAX(W21:X21)</f>
        <v>0</v>
      </c>
      <c r="T21" s="12" t="str">
        <f t="shared" si="4"/>
        <v>ne</v>
      </c>
      <c r="U21" s="12" t="e">
        <f t="shared" si="5"/>
        <v>#N/A</v>
      </c>
      <c r="V21" s="12">
        <f>Ram_6!$H$28</f>
        <v>0</v>
      </c>
      <c r="W21" s="12">
        <f>Ram_6!$AI$30</f>
        <v>0</v>
      </c>
      <c r="X21" s="1">
        <f>Ram_6!$AR$14</f>
        <v>0</v>
      </c>
      <c r="Y21" s="8" t="s">
        <v>4381</v>
      </c>
      <c r="Z21" s="8"/>
      <c r="AA21" s="8"/>
      <c r="AB21" s="8"/>
      <c r="AC21" s="8">
        <f t="shared" si="0"/>
        <v>0</v>
      </c>
      <c r="AD21" s="8">
        <f t="shared" si="1"/>
        <v>0</v>
      </c>
      <c r="AE21" s="12" t="s">
        <v>4381</v>
      </c>
      <c r="AF21" s="1">
        <v>21</v>
      </c>
    </row>
    <row r="22" spans="1:58" ht="15">
      <c r="D22" s="344"/>
      <c r="E22" s="344"/>
      <c r="F22" s="344"/>
      <c r="G22" s="344"/>
      <c r="H22" s="344"/>
      <c r="I22" s="344"/>
      <c r="J22" s="344"/>
      <c r="AC22" s="1">
        <f>SUM(AC16:AC21)</f>
        <v>0</v>
      </c>
      <c r="AD22" s="1">
        <f>SUM(AD16:AD21)</f>
        <v>0</v>
      </c>
      <c r="AE22" s="1" t="s">
        <v>4401</v>
      </c>
      <c r="AF22" s="1">
        <v>22</v>
      </c>
    </row>
    <row r="23" spans="1:58" s="12" customFormat="1" ht="18.75">
      <c r="A23" s="1"/>
      <c r="B23" s="1"/>
      <c r="C23" s="1"/>
      <c r="D23" s="344"/>
      <c r="E23" s="399"/>
      <c r="F23" s="399"/>
      <c r="G23" s="399"/>
      <c r="H23" s="399"/>
      <c r="I23" s="399"/>
      <c r="J23" s="399"/>
      <c r="X23" s="1"/>
      <c r="Y23" s="1"/>
      <c r="Z23" s="1"/>
      <c r="AA23" s="1"/>
      <c r="AB23" s="1"/>
      <c r="AC23" s="1"/>
      <c r="AD23" s="1">
        <f>IF(AD22=0,0,$AD$14*AD15-AD22)</f>
        <v>0</v>
      </c>
      <c r="AE23" s="1" t="s">
        <v>4389</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44"/>
      <c r="E24" s="344"/>
      <c r="F24" s="344"/>
      <c r="G24" s="344"/>
      <c r="H24" s="344"/>
      <c r="I24" s="344"/>
      <c r="J24" s="344"/>
      <c r="X24" s="1"/>
      <c r="Y24" s="1"/>
      <c r="Z24" s="1"/>
      <c r="AA24" s="1"/>
      <c r="AB24" s="1"/>
      <c r="AC24" s="1">
        <f>IF(AD22=0,AC22,IF(AD23&gt;=AC22,0,AC22-AD23))</f>
        <v>0</v>
      </c>
      <c r="AD24" s="1">
        <f>IF(AD23&gt;=AC22,AC22+AD22,AD23+AD22)</f>
        <v>0</v>
      </c>
      <c r="AE24" s="1" t="s">
        <v>4402</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44"/>
      <c r="F25" s="344"/>
      <c r="G25" s="344"/>
      <c r="H25" s="344"/>
      <c r="I25" s="344"/>
      <c r="J25" s="344"/>
      <c r="X25" s="1"/>
      <c r="Y25" s="1"/>
      <c r="Z25" s="1"/>
      <c r="AA25" s="1"/>
      <c r="AB25" s="1"/>
      <c r="AC25" s="1">
        <f>CEILING(AC24/AC14,1)</f>
        <v>0</v>
      </c>
      <c r="AD25" s="1">
        <f>CEILING(AD24/AD14,1)</f>
        <v>0</v>
      </c>
      <c r="AE25" s="1" t="s">
        <v>4404</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44"/>
      <c r="F26" s="344"/>
      <c r="G26" s="344"/>
      <c r="H26" s="344"/>
      <c r="I26" s="344"/>
      <c r="J26" s="344"/>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44"/>
      <c r="F27" s="344"/>
      <c r="G27" s="344"/>
      <c r="H27" s="344"/>
      <c r="I27" s="344"/>
      <c r="J27" s="344"/>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44"/>
      <c r="F28" s="344"/>
      <c r="G28" s="344"/>
      <c r="H28" s="344"/>
      <c r="I28" s="344"/>
      <c r="J28" s="344"/>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44"/>
      <c r="F29" s="344"/>
      <c r="G29" s="344"/>
      <c r="H29" s="344"/>
      <c r="I29" s="344"/>
      <c r="J29" s="344"/>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44"/>
      <c r="F30" s="344"/>
      <c r="G30" s="344"/>
      <c r="H30" s="344"/>
      <c r="I30" s="344"/>
      <c r="J30" s="344"/>
      <c r="X30" s="1"/>
      <c r="Y30" s="1"/>
      <c r="Z30" s="1"/>
      <c r="AA30" s="1"/>
      <c r="AB30" s="1"/>
      <c r="AC30" s="1">
        <f>AC25*AC12</f>
        <v>0</v>
      </c>
      <c r="AD30" s="1">
        <f>AD25*AD12</f>
        <v>0</v>
      </c>
      <c r="AE30" s="1" t="s">
        <v>3624</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44"/>
      <c r="F31" s="344"/>
      <c r="G31" s="344"/>
      <c r="H31" s="344"/>
      <c r="I31" s="344"/>
      <c r="J31" s="344"/>
      <c r="X31" s="1"/>
      <c r="Y31" s="1"/>
      <c r="Z31" s="1"/>
      <c r="AA31" s="1"/>
      <c r="AB31" s="1"/>
      <c r="AC31" s="1"/>
      <c r="AD31" s="1">
        <f>SUM(AC30:AD30)</f>
        <v>0</v>
      </c>
      <c r="AE31" s="1" t="s">
        <v>4405</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44"/>
      <c r="F32" s="344"/>
      <c r="G32" s="344"/>
      <c r="H32" s="344"/>
      <c r="I32" s="344"/>
      <c r="J32" s="344"/>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93"/>
      <c r="F36" s="393"/>
      <c r="G36" s="393"/>
      <c r="H36" s="394"/>
      <c r="I36" s="394"/>
      <c r="J36" s="394"/>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45"/>
      <c r="C37" s="1"/>
      <c r="D37" s="1"/>
      <c r="E37" s="344"/>
      <c r="F37" s="344"/>
      <c r="G37" s="344"/>
      <c r="H37" s="344"/>
      <c r="I37" s="344"/>
      <c r="J37" s="344"/>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403"/>
      <c r="B38" s="160"/>
      <c r="C38" s="1"/>
      <c r="D38" s="344"/>
      <c r="E38" s="396"/>
      <c r="F38" s="396"/>
      <c r="G38" s="396"/>
      <c r="H38" s="396"/>
      <c r="I38" s="396"/>
      <c r="J38" s="396"/>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403"/>
      <c r="B39" s="160"/>
      <c r="C39" s="1"/>
      <c r="D39" s="344"/>
      <c r="E39" s="397"/>
      <c r="F39" s="397"/>
      <c r="G39" s="397"/>
      <c r="H39" s="397"/>
      <c r="I39" s="397"/>
      <c r="J39" s="39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44"/>
      <c r="C40" s="1"/>
      <c r="D40" s="344"/>
      <c r="E40" s="344"/>
      <c r="F40" s="344"/>
      <c r="G40" s="344"/>
      <c r="H40" s="344"/>
      <c r="I40" s="344"/>
      <c r="J40" s="344"/>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44"/>
      <c r="E41" s="344"/>
      <c r="F41" s="344"/>
      <c r="G41" s="344"/>
      <c r="H41" s="344"/>
      <c r="I41" s="344"/>
      <c r="J41" s="344"/>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44"/>
      <c r="E42" s="396"/>
      <c r="F42" s="396"/>
      <c r="G42" s="396"/>
      <c r="H42" s="344"/>
      <c r="I42" s="344"/>
      <c r="J42" s="344"/>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44"/>
      <c r="E43" s="397"/>
      <c r="F43" s="397"/>
      <c r="G43" s="397"/>
      <c r="H43" s="397"/>
      <c r="I43" s="397"/>
      <c r="J43" s="397"/>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44"/>
      <c r="F44" s="344"/>
      <c r="G44" s="344"/>
      <c r="H44" s="397"/>
      <c r="I44" s="397"/>
      <c r="J44" s="397"/>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44"/>
      <c r="E45" s="344"/>
      <c r="F45" s="344"/>
      <c r="G45" s="344"/>
      <c r="H45" s="344"/>
      <c r="I45" s="344"/>
      <c r="J45" s="344"/>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44"/>
      <c r="E46" s="399"/>
      <c r="F46" s="399"/>
      <c r="G46" s="399"/>
      <c r="H46" s="399"/>
      <c r="I46" s="399"/>
      <c r="J46" s="399"/>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44"/>
      <c r="E47" s="344"/>
      <c r="F47" s="344"/>
      <c r="G47" s="344"/>
      <c r="H47" s="344"/>
      <c r="I47" s="344"/>
      <c r="J47" s="344"/>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44"/>
      <c r="F48" s="344"/>
      <c r="G48" s="344"/>
      <c r="H48" s="344"/>
      <c r="I48" s="344"/>
      <c r="J48" s="344"/>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44"/>
      <c r="F49" s="344"/>
      <c r="G49" s="344"/>
      <c r="H49" s="344"/>
      <c r="I49" s="344"/>
      <c r="J49" s="344"/>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44"/>
      <c r="F50" s="344"/>
      <c r="G50" s="344"/>
      <c r="H50" s="344"/>
      <c r="I50" s="344"/>
      <c r="J50" s="344"/>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44"/>
      <c r="F51" s="344"/>
      <c r="G51" s="344"/>
      <c r="H51" s="344"/>
      <c r="I51" s="344"/>
      <c r="J51" s="344"/>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44"/>
      <c r="F52" s="344"/>
      <c r="G52" s="344"/>
      <c r="H52" s="344"/>
      <c r="I52" s="344"/>
      <c r="J52" s="344"/>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44"/>
      <c r="F53" s="344"/>
      <c r="G53" s="344"/>
      <c r="H53" s="344"/>
      <c r="I53" s="344"/>
      <c r="J53" s="344"/>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44"/>
      <c r="F54" s="344"/>
      <c r="G54" s="344"/>
      <c r="H54" s="344"/>
      <c r="I54" s="344"/>
      <c r="J54" s="344"/>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44"/>
      <c r="F55" s="344"/>
      <c r="G55" s="344"/>
      <c r="H55" s="344"/>
      <c r="I55" s="344"/>
      <c r="J55" s="344"/>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93"/>
      <c r="F59" s="393"/>
      <c r="G59" s="393"/>
      <c r="H59" s="394"/>
      <c r="I59" s="394"/>
      <c r="J59" s="394"/>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45"/>
      <c r="C60" s="1"/>
      <c r="D60" s="1"/>
      <c r="E60" s="344"/>
      <c r="F60" s="344"/>
      <c r="G60" s="344"/>
      <c r="H60" s="344"/>
      <c r="I60" s="344"/>
      <c r="J60" s="344"/>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403"/>
      <c r="B61" s="160"/>
      <c r="C61" s="1"/>
      <c r="D61" s="344"/>
      <c r="E61" s="396"/>
      <c r="F61" s="396"/>
      <c r="G61" s="396"/>
      <c r="H61" s="396"/>
      <c r="I61" s="396"/>
      <c r="J61" s="396"/>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403"/>
      <c r="B62" s="160"/>
      <c r="C62" s="1"/>
      <c r="D62" s="344"/>
      <c r="E62" s="397"/>
      <c r="F62" s="397"/>
      <c r="G62" s="397"/>
      <c r="H62" s="397"/>
      <c r="I62" s="397"/>
      <c r="J62" s="397"/>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44"/>
      <c r="C63" s="1"/>
      <c r="D63" s="344"/>
      <c r="E63" s="344"/>
      <c r="F63" s="344"/>
      <c r="G63" s="344"/>
      <c r="H63" s="344"/>
      <c r="I63" s="344"/>
      <c r="J63" s="344"/>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44"/>
      <c r="E64" s="344"/>
      <c r="F64" s="344"/>
      <c r="G64" s="344"/>
      <c r="H64" s="344"/>
      <c r="I64" s="344"/>
      <c r="J64" s="344"/>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44"/>
      <c r="E65" s="396"/>
      <c r="F65" s="396"/>
      <c r="G65" s="396"/>
      <c r="H65" s="344"/>
      <c r="I65" s="344"/>
      <c r="J65" s="344"/>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44"/>
      <c r="E66" s="397"/>
      <c r="F66" s="397"/>
      <c r="G66" s="397"/>
      <c r="H66" s="397"/>
      <c r="I66" s="397"/>
      <c r="J66" s="397"/>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44"/>
      <c r="F67" s="344"/>
      <c r="G67" s="344"/>
      <c r="H67" s="397"/>
      <c r="I67" s="397"/>
      <c r="J67" s="397"/>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44"/>
      <c r="E68" s="344"/>
      <c r="F68" s="344"/>
      <c r="G68" s="344"/>
      <c r="H68" s="344"/>
      <c r="I68" s="344"/>
      <c r="J68" s="344"/>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44"/>
      <c r="E69" s="399"/>
      <c r="F69" s="399"/>
      <c r="G69" s="399"/>
      <c r="H69" s="399"/>
      <c r="I69" s="399"/>
      <c r="J69" s="399"/>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44"/>
      <c r="E70" s="344"/>
      <c r="F70" s="344"/>
      <c r="G70" s="344"/>
      <c r="H70" s="344"/>
      <c r="I70" s="344"/>
      <c r="J70" s="344"/>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44"/>
      <c r="F71" s="344"/>
      <c r="G71" s="344"/>
      <c r="H71" s="344"/>
      <c r="I71" s="344"/>
      <c r="J71" s="344"/>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44"/>
      <c r="F72" s="344"/>
      <c r="G72" s="344"/>
      <c r="H72" s="344"/>
      <c r="I72" s="344"/>
      <c r="J72" s="344"/>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44"/>
      <c r="F73" s="344"/>
      <c r="G73" s="344"/>
      <c r="H73" s="344"/>
      <c r="I73" s="344"/>
      <c r="J73" s="344"/>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44"/>
      <c r="F74" s="344"/>
      <c r="G74" s="344"/>
      <c r="H74" s="344"/>
      <c r="I74" s="344"/>
      <c r="J74" s="344"/>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44"/>
      <c r="F75" s="344"/>
      <c r="G75" s="344"/>
      <c r="H75" s="344"/>
      <c r="I75" s="344"/>
      <c r="J75" s="344"/>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44"/>
      <c r="F76" s="344"/>
      <c r="G76" s="344"/>
      <c r="H76" s="344"/>
      <c r="I76" s="344"/>
      <c r="J76" s="344"/>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44"/>
      <c r="F77" s="344"/>
      <c r="G77" s="344"/>
      <c r="H77" s="344"/>
      <c r="I77" s="344"/>
      <c r="J77" s="344"/>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44"/>
      <c r="F78" s="344"/>
      <c r="G78" s="344"/>
      <c r="H78" s="344"/>
      <c r="I78" s="344"/>
      <c r="J78" s="344"/>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93"/>
      <c r="F82" s="393"/>
      <c r="G82" s="393"/>
      <c r="H82" s="394"/>
      <c r="I82" s="394"/>
      <c r="J82" s="394"/>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45"/>
      <c r="C83" s="1"/>
      <c r="D83" s="1"/>
      <c r="E83" s="344"/>
      <c r="F83" s="344"/>
      <c r="G83" s="344"/>
      <c r="H83" s="344"/>
      <c r="I83" s="344"/>
      <c r="J83" s="344"/>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403"/>
      <c r="B84" s="160"/>
      <c r="C84" s="1"/>
      <c r="D84" s="344"/>
      <c r="E84" s="396"/>
      <c r="F84" s="396"/>
      <c r="G84" s="396"/>
      <c r="H84" s="396"/>
      <c r="I84" s="396"/>
      <c r="J84" s="396"/>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403"/>
      <c r="B85" s="160"/>
      <c r="C85" s="1"/>
      <c r="D85" s="344"/>
      <c r="E85" s="397"/>
      <c r="F85" s="397"/>
      <c r="G85" s="397"/>
      <c r="H85" s="397"/>
      <c r="I85" s="397"/>
      <c r="J85" s="397"/>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44"/>
      <c r="C86" s="1"/>
      <c r="D86" s="344"/>
      <c r="E86" s="344"/>
      <c r="F86" s="344"/>
      <c r="G86" s="344"/>
      <c r="H86" s="344"/>
      <c r="I86" s="344"/>
      <c r="J86" s="344"/>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44"/>
      <c r="E87" s="344"/>
      <c r="F87" s="344"/>
      <c r="G87" s="344"/>
      <c r="H87" s="344"/>
      <c r="I87" s="344"/>
      <c r="J87" s="344"/>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44"/>
      <c r="E88" s="396"/>
      <c r="F88" s="396"/>
      <c r="G88" s="396"/>
      <c r="H88" s="344"/>
      <c r="I88" s="344"/>
      <c r="J88" s="344"/>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44"/>
      <c r="E89" s="397"/>
      <c r="F89" s="397"/>
      <c r="G89" s="397"/>
      <c r="H89" s="397"/>
      <c r="I89" s="397"/>
      <c r="J89" s="397"/>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44"/>
      <c r="F90" s="344"/>
      <c r="G90" s="344"/>
      <c r="H90" s="397"/>
      <c r="I90" s="397"/>
      <c r="J90" s="397"/>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44"/>
      <c r="E91" s="344"/>
      <c r="F91" s="344"/>
      <c r="G91" s="344"/>
      <c r="H91" s="344"/>
      <c r="I91" s="344"/>
      <c r="J91" s="344"/>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44"/>
      <c r="E92" s="399"/>
      <c r="F92" s="399"/>
      <c r="G92" s="399"/>
      <c r="H92" s="399"/>
      <c r="I92" s="399"/>
      <c r="J92" s="399"/>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44"/>
      <c r="E93" s="344"/>
      <c r="F93" s="344"/>
      <c r="G93" s="344"/>
      <c r="H93" s="344"/>
      <c r="I93" s="344"/>
      <c r="J93" s="344"/>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44"/>
      <c r="F94" s="344"/>
      <c r="G94" s="344"/>
      <c r="H94" s="344"/>
      <c r="I94" s="344"/>
      <c r="J94" s="344"/>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44"/>
      <c r="F95" s="344"/>
      <c r="G95" s="344"/>
      <c r="H95" s="344"/>
      <c r="I95" s="344"/>
      <c r="J95" s="344"/>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44"/>
      <c r="F96" s="344"/>
      <c r="G96" s="344"/>
      <c r="H96" s="344"/>
      <c r="I96" s="344"/>
      <c r="J96" s="344"/>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44"/>
      <c r="F97" s="344"/>
      <c r="G97" s="344"/>
      <c r="H97" s="344"/>
      <c r="I97" s="344"/>
      <c r="J97" s="344"/>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44"/>
      <c r="F98" s="344"/>
      <c r="G98" s="344"/>
      <c r="H98" s="344"/>
      <c r="I98" s="344"/>
      <c r="J98" s="344"/>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44"/>
      <c r="F99" s="344"/>
      <c r="G99" s="344"/>
      <c r="H99" s="344"/>
      <c r="I99" s="344"/>
      <c r="J99" s="344"/>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44"/>
      <c r="F100" s="344"/>
      <c r="G100" s="344"/>
      <c r="H100" s="344"/>
      <c r="I100" s="344"/>
      <c r="J100" s="344"/>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44"/>
      <c r="F101" s="344"/>
      <c r="G101" s="344"/>
      <c r="H101" s="344"/>
      <c r="I101" s="344"/>
      <c r="J101" s="344"/>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29" priority="45">
      <formula>$E$59=$E$69</formula>
    </cfRule>
  </conditionalFormatting>
  <conditionalFormatting sqref="E92">
    <cfRule type="expression" dxfId="28" priority="33">
      <formula>$E$59=$E$69</formula>
    </cfRule>
  </conditionalFormatting>
  <conditionalFormatting sqref="E67:G67">
    <cfRule type="containsText" dxfId="27" priority="40" operator="containsText" text="balík">
      <formula>NOT(ISERROR(SEARCH("balík",E67)))</formula>
    </cfRule>
  </conditionalFormatting>
  <conditionalFormatting sqref="E90:G90">
    <cfRule type="containsText" dxfId="26" priority="28" operator="containsText" text="balík">
      <formula>NOT(ISERROR(SEARCH("balík",E90)))</formula>
    </cfRule>
  </conditionalFormatting>
  <conditionalFormatting sqref="E9:J9 F10">
    <cfRule type="containsText" dxfId="25" priority="55" operator="containsText" text="výsledn">
      <formula>NOT(ISERROR(SEARCH("výsledn",E9)))</formula>
    </cfRule>
  </conditionalFormatting>
  <conditionalFormatting sqref="E17:J17">
    <cfRule type="containsText" dxfId="24" priority="41" operator="containsText" text="paleta">
      <formula>NOT(ISERROR(SEARCH("paleta",E17)))</formula>
    </cfRule>
    <cfRule type="containsText" dxfId="23" priority="42" operator="containsText" text="balík">
      <formula>NOT(ISERROR(SEARCH("balík",E17)))</formula>
    </cfRule>
  </conditionalFormatting>
  <conditionalFormatting sqref="E55:J55">
    <cfRule type="containsText" dxfId="22" priority="52" operator="containsText" text="výsledn">
      <formula>NOT(ISERROR(SEARCH("výsledn",E55)))</formula>
    </cfRule>
  </conditionalFormatting>
  <conditionalFormatting sqref="E63:J63">
    <cfRule type="containsText" dxfId="21" priority="38" operator="containsText" text="paleta">
      <formula>NOT(ISERROR(SEARCH("paleta",E63)))</formula>
    </cfRule>
    <cfRule type="containsText" dxfId="20" priority="39" operator="containsText" text="balík">
      <formula>NOT(ISERROR(SEARCH("balík",E63)))</formula>
    </cfRule>
  </conditionalFormatting>
  <conditionalFormatting sqref="E78:J78">
    <cfRule type="containsText" dxfId="19" priority="49" operator="containsText" text="výsledn">
      <formula>NOT(ISERROR(SEARCH("výsledn",E78)))</formula>
    </cfRule>
  </conditionalFormatting>
  <conditionalFormatting sqref="E86:J86">
    <cfRule type="containsText" dxfId="18" priority="26" operator="containsText" text="paleta">
      <formula>NOT(ISERROR(SEARCH("paleta",E86)))</formula>
    </cfRule>
    <cfRule type="containsText" dxfId="17" priority="27" operator="containsText" text="balík">
      <formula>NOT(ISERROR(SEARCH("balík",E86)))</formula>
    </cfRule>
  </conditionalFormatting>
  <conditionalFormatting sqref="E101:J101">
    <cfRule type="containsText" dxfId="16" priority="37" operator="containsText" text="výsledn">
      <formula>NOT(ISERROR(SEARCH("výsledn",E101)))</formula>
    </cfRule>
  </conditionalFormatting>
  <conditionalFormatting sqref="F8">
    <cfRule type="expression" dxfId="15" priority="53">
      <formula>F9="výsledná zásilka"</formula>
    </cfRule>
  </conditionalFormatting>
  <conditionalFormatting sqref="F54">
    <cfRule type="expression" dxfId="14" priority="50">
      <formula>F55="výsledná zásilka"</formula>
    </cfRule>
  </conditionalFormatting>
  <conditionalFormatting sqref="F69">
    <cfRule type="expression" dxfId="13" priority="48">
      <formula>$F$59=$F$69</formula>
    </cfRule>
  </conditionalFormatting>
  <conditionalFormatting sqref="F92">
    <cfRule type="expression" dxfId="12" priority="36">
      <formula>$F$59=$F$69</formula>
    </cfRule>
  </conditionalFormatting>
  <conditionalFormatting sqref="F100">
    <cfRule type="expression" dxfId="11" priority="31">
      <formula>F101="výsledná zásilka"</formula>
    </cfRule>
  </conditionalFormatting>
  <conditionalFormatting sqref="G69">
    <cfRule type="expression" dxfId="10" priority="44">
      <formula>$G$59=$G$69</formula>
    </cfRule>
  </conditionalFormatting>
  <conditionalFormatting sqref="G92">
    <cfRule type="expression" dxfId="9" priority="30">
      <formula>$G$59=$G$69</formula>
    </cfRule>
  </conditionalFormatting>
  <conditionalFormatting sqref="H8">
    <cfRule type="expression" dxfId="8" priority="54">
      <formula>H9="výsledná zásilka"</formula>
    </cfRule>
  </conditionalFormatting>
  <conditionalFormatting sqref="H54">
    <cfRule type="expression" dxfId="7" priority="51">
      <formula>H55="výsledná zásilka"</formula>
    </cfRule>
  </conditionalFormatting>
  <conditionalFormatting sqref="H69">
    <cfRule type="expression" dxfId="6" priority="47">
      <formula>$H$69=$H$59</formula>
    </cfRule>
  </conditionalFormatting>
  <conditionalFormatting sqref="H92">
    <cfRule type="expression" dxfId="5" priority="35">
      <formula>$H$69=$H$59</formula>
    </cfRule>
  </conditionalFormatting>
  <conditionalFormatting sqref="H100">
    <cfRule type="expression" dxfId="4" priority="32">
      <formula>H101="výsledná zásilka"</formula>
    </cfRule>
  </conditionalFormatting>
  <conditionalFormatting sqref="I69">
    <cfRule type="expression" dxfId="3" priority="43">
      <formula>$I$59=$I$69</formula>
    </cfRule>
  </conditionalFormatting>
  <conditionalFormatting sqref="I92">
    <cfRule type="expression" dxfId="2" priority="29">
      <formula>$I$59=$I$69</formula>
    </cfRule>
  </conditionalFormatting>
  <conditionalFormatting sqref="J69">
    <cfRule type="expression" dxfId="1" priority="46">
      <formula>#REF!=#REF!</formula>
    </cfRule>
  </conditionalFormatting>
  <conditionalFormatting sqref="J92">
    <cfRule type="expression" dxfId="0"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3" sqref="P23:S24"/>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29"/>
      <c r="B2" s="529"/>
      <c r="C2" s="529"/>
      <c r="D2" s="529"/>
      <c r="E2" s="529"/>
      <c r="F2" s="529"/>
      <c r="G2" s="529"/>
      <c r="H2" s="529"/>
      <c r="I2" s="529"/>
      <c r="J2" s="529"/>
      <c r="K2" s="529"/>
      <c r="L2" s="529"/>
      <c r="M2" s="529"/>
      <c r="N2" s="529"/>
      <c r="O2" s="529"/>
      <c r="P2" s="530" t="str">
        <f>"Powrót"</f>
        <v>Powrót</v>
      </c>
      <c r="Q2" s="531"/>
      <c r="R2" s="531"/>
      <c r="S2" s="531"/>
    </row>
    <row r="3" spans="1:19">
      <c r="A3" s="529"/>
      <c r="B3" s="529"/>
      <c r="C3" s="529"/>
      <c r="D3" s="529"/>
      <c r="E3" s="529"/>
      <c r="F3" s="529"/>
      <c r="G3" s="529"/>
      <c r="H3" s="529"/>
      <c r="I3" s="529"/>
      <c r="J3" s="529"/>
      <c r="K3" s="529"/>
      <c r="L3" s="529"/>
      <c r="M3" s="529"/>
      <c r="N3" s="529"/>
      <c r="O3" s="529"/>
      <c r="P3" s="530"/>
      <c r="Q3" s="531"/>
      <c r="R3" s="531"/>
      <c r="S3" s="531"/>
    </row>
    <row r="4" spans="1:19"/>
    <row r="9" spans="1:19"/>
    <row r="10" spans="1:19"/>
    <row r="11" spans="1:19" ht="15.75" thickBot="1"/>
    <row r="12" spans="1:19" ht="39.75" customHeight="1" thickBot="1">
      <c r="B12" s="520" t="s">
        <v>3612</v>
      </c>
      <c r="C12" s="521"/>
      <c r="D12" s="521"/>
      <c r="E12" s="521"/>
      <c r="F12" s="525"/>
      <c r="G12" s="471"/>
    </row>
    <row r="13" spans="1:19" ht="21" customHeight="1">
      <c r="B13" s="338"/>
      <c r="C13" s="518" t="s">
        <v>4360</v>
      </c>
      <c r="D13" s="518"/>
      <c r="E13" s="523" t="s">
        <v>3608</v>
      </c>
      <c r="F13" s="524"/>
      <c r="G13" s="472"/>
    </row>
    <row r="14" spans="1:19">
      <c r="B14" s="321" t="s">
        <v>3607</v>
      </c>
      <c r="C14" s="317" t="s">
        <v>4396</v>
      </c>
      <c r="D14" s="317" t="s">
        <v>4450</v>
      </c>
      <c r="E14" s="316" t="s">
        <v>4452</v>
      </c>
      <c r="F14" s="316" t="s">
        <v>4453</v>
      </c>
      <c r="G14" s="473"/>
    </row>
    <row r="15" spans="1:19">
      <c r="B15" s="339" t="s">
        <v>3624</v>
      </c>
      <c r="C15" s="336" t="s">
        <v>4443</v>
      </c>
      <c r="D15" s="336" t="s">
        <v>4443</v>
      </c>
      <c r="E15" s="337" t="s">
        <v>4446</v>
      </c>
      <c r="F15" s="337" t="s">
        <v>4447</v>
      </c>
      <c r="G15" s="474"/>
    </row>
    <row r="16" spans="1:19" ht="15.75" thickBot="1">
      <c r="B16" s="322" t="s">
        <v>4359</v>
      </c>
      <c r="C16" s="425" t="s">
        <v>4356</v>
      </c>
      <c r="D16" s="425" t="s">
        <v>4357</v>
      </c>
      <c r="E16" s="526" t="s">
        <v>4358</v>
      </c>
      <c r="F16" s="527"/>
      <c r="G16" s="475"/>
    </row>
    <row r="17" spans="2:19" ht="25.5" customHeight="1"/>
    <row r="18" spans="2:19" ht="25.5" customHeight="1">
      <c r="B18" s="528" t="s">
        <v>4393</v>
      </c>
      <c r="C18" s="528"/>
      <c r="D18" s="528"/>
      <c r="E18" s="436"/>
    </row>
    <row r="19" spans="2:19" ht="25.5" customHeight="1">
      <c r="B19" s="528"/>
      <c r="C19" s="528"/>
      <c r="D19" s="528"/>
      <c r="E19" s="436"/>
    </row>
    <row r="20" spans="2:19" ht="15.75" thickBot="1"/>
    <row r="21" spans="2:19" ht="39.75" customHeight="1" thickBot="1">
      <c r="B21" s="520" t="s">
        <v>3609</v>
      </c>
      <c r="C21" s="521"/>
      <c r="D21" s="522"/>
      <c r="E21" s="470"/>
      <c r="F21" s="470"/>
      <c r="G21" s="470"/>
      <c r="H21" s="318"/>
      <c r="P21" s="517" t="str">
        <f>IF(Posuv!I17="Dostawa na adres","Ramki przesuwne","")</f>
        <v/>
      </c>
      <c r="Q21" s="517"/>
      <c r="R21" s="517"/>
      <c r="S21" s="517"/>
    </row>
    <row r="22" spans="2:19" ht="18.75" customHeight="1">
      <c r="B22" s="341" t="s">
        <v>3610</v>
      </c>
      <c r="C22" s="467" t="s">
        <v>4444</v>
      </c>
      <c r="D22" s="342" t="s">
        <v>4445</v>
      </c>
      <c r="E22" s="468"/>
      <c r="H22" s="319"/>
    </row>
    <row r="23" spans="2:19">
      <c r="B23" s="339" t="s">
        <v>3624</v>
      </c>
      <c r="C23" s="336" t="s">
        <v>4443</v>
      </c>
      <c r="D23" s="343" t="s">
        <v>4449</v>
      </c>
      <c r="E23" s="468"/>
      <c r="H23" s="174"/>
      <c r="P23" s="516" t="s">
        <v>1432</v>
      </c>
      <c r="Q23" s="516"/>
      <c r="R23" s="516"/>
      <c r="S23" s="516"/>
    </row>
    <row r="24" spans="2:19" ht="15.75" thickBot="1">
      <c r="B24" s="322" t="s">
        <v>4359</v>
      </c>
      <c r="C24" s="425" t="s">
        <v>4398</v>
      </c>
      <c r="D24" s="340" t="s">
        <v>4399</v>
      </c>
      <c r="E24" s="469"/>
      <c r="H24" s="320"/>
      <c r="P24" s="516"/>
      <c r="Q24" s="516"/>
      <c r="R24" s="516"/>
      <c r="S24" s="516"/>
    </row>
    <row r="25" spans="2:19"/>
    <row r="26" spans="2:19" ht="15" customHeight="1">
      <c r="B26" s="519" t="s">
        <v>4406</v>
      </c>
      <c r="C26" s="519"/>
      <c r="D26" s="519"/>
      <c r="E26" s="519"/>
      <c r="F26" s="519"/>
      <c r="G26" s="519"/>
      <c r="P26" s="515" t="s">
        <v>1224</v>
      </c>
      <c r="Q26" s="515"/>
      <c r="R26" s="515"/>
      <c r="S26" s="515"/>
    </row>
    <row r="27" spans="2:19" ht="15" customHeight="1">
      <c r="B27" s="519"/>
      <c r="C27" s="519"/>
      <c r="D27" s="519"/>
      <c r="E27" s="519"/>
      <c r="F27" s="519"/>
      <c r="G27" s="519"/>
      <c r="P27" s="515"/>
      <c r="Q27" s="515"/>
      <c r="R27" s="515"/>
      <c r="S27" s="515"/>
    </row>
    <row r="28" spans="2:19" ht="15" customHeight="1">
      <c r="B28" s="436"/>
      <c r="C28" s="436"/>
      <c r="D28" s="436"/>
      <c r="E28" s="436"/>
    </row>
    <row r="29" spans="2:19"/>
    <row r="30" spans="2:19"/>
    <row r="31" spans="2:19"/>
  </sheetData>
  <sheetProtection algorithmName="SHA-512" hashValue="o06RJ+MS9Pb8SRmxw/z2bCdoTZdmw0UvwkFEHU0+dQFpTkyJ+OW/Ia4JNH9vZG7F3AhKw2wFaW+G6vMkTh6P5Q==" saltValue="huLSMPW/wKtwe08Jx0DrmA=="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theme="3"/>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theme="3"/>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theme="3"/>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7">
        <v>800</v>
      </c>
      <c r="AK1" s="417">
        <v>1400</v>
      </c>
      <c r="AL1" s="417">
        <v>2300</v>
      </c>
      <c r="AM1" s="417">
        <v>2750</v>
      </c>
    </row>
    <row r="2" spans="1:39" ht="15">
      <c r="A2" s="39"/>
      <c r="B2" s="39"/>
      <c r="C2" s="39"/>
      <c r="D2" s="39"/>
      <c r="E2" s="545"/>
      <c r="F2" s="545"/>
      <c r="G2" s="545"/>
      <c r="H2" s="545"/>
      <c r="I2" s="545"/>
      <c r="J2" s="545"/>
      <c r="K2" s="545"/>
      <c r="L2" s="545"/>
      <c r="M2" s="545"/>
      <c r="N2" s="545"/>
      <c r="O2" s="545"/>
      <c r="P2" s="546"/>
      <c r="Q2" s="541" t="str">
        <f>'Translate&amp;Prices&amp;Logo'!$B$540</f>
        <v>Úvod</v>
      </c>
      <c r="R2" s="542"/>
      <c r="S2" s="542"/>
      <c r="T2" s="542"/>
      <c r="AJ2" s="417">
        <v>800</v>
      </c>
      <c r="AK2" s="417">
        <v>800</v>
      </c>
      <c r="AL2" s="532">
        <v>750</v>
      </c>
      <c r="AM2" s="533"/>
    </row>
    <row r="3" spans="1:39" ht="15">
      <c r="A3" s="39"/>
      <c r="B3" s="39"/>
      <c r="C3" s="39"/>
      <c r="D3" s="39"/>
      <c r="E3" s="545"/>
      <c r="F3" s="545"/>
      <c r="G3" s="545"/>
      <c r="H3" s="545"/>
      <c r="I3" s="545"/>
      <c r="J3" s="545"/>
      <c r="K3" s="545"/>
      <c r="L3" s="545"/>
      <c r="M3" s="545"/>
      <c r="N3" s="545"/>
      <c r="O3" s="545"/>
      <c r="P3" s="546"/>
      <c r="Q3" s="541"/>
      <c r="R3" s="542"/>
      <c r="S3" s="542"/>
      <c r="T3" s="542"/>
      <c r="W3" s="133" t="e">
        <f>VLOOKUP(I24,V5:W7,2,0)</f>
        <v>#N/A</v>
      </c>
      <c r="AJ3" s="356" t="s">
        <v>4364</v>
      </c>
      <c r="AK3" s="356" t="s">
        <v>4365</v>
      </c>
      <c r="AL3" s="357" t="s">
        <v>4366</v>
      </c>
      <c r="AM3" s="357" t="s">
        <v>4367</v>
      </c>
    </row>
    <row r="4" spans="1:39" ht="15">
      <c r="A4" s="38"/>
      <c r="B4" s="38"/>
      <c r="C4" s="38"/>
      <c r="D4" s="38"/>
      <c r="E4" s="38"/>
      <c r="F4" s="38"/>
      <c r="G4" s="38"/>
      <c r="H4" s="38"/>
      <c r="I4" s="38"/>
      <c r="J4" s="1"/>
      <c r="K4" s="1"/>
      <c r="L4" s="1"/>
      <c r="M4" s="1"/>
      <c r="N4" s="1"/>
      <c r="O4" s="1"/>
      <c r="P4" s="1"/>
      <c r="Q4" s="1"/>
      <c r="R4" s="1"/>
      <c r="S4" s="1"/>
      <c r="T4" s="1"/>
      <c r="AE4" s="1"/>
      <c r="AJ4" s="476">
        <v>35</v>
      </c>
      <c r="AK4" s="476">
        <v>35</v>
      </c>
      <c r="AL4" s="476">
        <v>288</v>
      </c>
      <c r="AM4" s="476">
        <v>332</v>
      </c>
    </row>
    <row r="5" spans="1:39" ht="14.85" customHeight="1">
      <c r="A5" s="1"/>
      <c r="B5" s="1"/>
      <c r="C5" s="1"/>
      <c r="D5" s="1"/>
      <c r="E5" s="1"/>
      <c r="F5" s="1"/>
      <c r="G5" s="1"/>
      <c r="H5" s="1"/>
      <c r="I5" s="1"/>
      <c r="J5" s="1"/>
      <c r="K5" s="1"/>
      <c r="L5" s="1"/>
      <c r="M5" s="1"/>
      <c r="N5" s="1"/>
      <c r="O5" s="1"/>
      <c r="P5" s="1"/>
      <c r="Q5" s="1"/>
      <c r="R5" s="1"/>
      <c r="S5" s="1"/>
      <c r="T5" s="1"/>
      <c r="V5" s="133" t="str">
        <f>'Translate&amp;Prices&amp;Logo'!B638</f>
        <v>Bez úprav</v>
      </c>
      <c r="W5" s="133">
        <v>1</v>
      </c>
      <c r="AE5" s="1"/>
      <c r="AF5" s="1"/>
      <c r="AG5" s="1"/>
      <c r="AH5" s="1"/>
      <c r="AI5" s="1"/>
      <c r="AJ5" s="1">
        <v>3</v>
      </c>
      <c r="AK5" s="133">
        <v>2</v>
      </c>
      <c r="AL5" s="537">
        <v>20</v>
      </c>
      <c r="AM5" s="537"/>
    </row>
    <row r="6" spans="1:39" ht="14.85" customHeight="1">
      <c r="A6" s="1"/>
      <c r="B6" s="1"/>
      <c r="C6" s="1"/>
      <c r="D6" s="1"/>
      <c r="E6" s="1"/>
      <c r="F6" s="1"/>
      <c r="G6" s="1"/>
      <c r="H6" s="1"/>
      <c r="I6" s="1"/>
      <c r="J6" s="1"/>
      <c r="K6" s="1"/>
      <c r="L6" s="1"/>
      <c r="M6" s="1"/>
      <c r="N6" s="1"/>
      <c r="O6" s="1"/>
      <c r="P6" s="1"/>
      <c r="Q6" s="1"/>
      <c r="R6" s="1"/>
      <c r="S6" s="1"/>
      <c r="T6" s="1"/>
      <c r="V6" s="133" t="str">
        <f>'Translate&amp;Prices&amp;Logo'!B639</f>
        <v>Kalené (termín dodania 4 týždne)</v>
      </c>
      <c r="W6" s="133">
        <v>2</v>
      </c>
      <c r="AC6" s="133" t="s">
        <v>4454</v>
      </c>
      <c r="AD6" s="133" t="s">
        <v>4455</v>
      </c>
      <c r="AE6" s="534" t="s">
        <v>4418</v>
      </c>
      <c r="AF6" s="535"/>
      <c r="AG6" s="535"/>
      <c r="AH6" s="536"/>
      <c r="AI6" s="401" t="s">
        <v>4419</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'Translate&amp;Prices&amp;Logo'!B640</f>
        <v>Folie</v>
      </c>
      <c r="W7" s="133">
        <v>3</v>
      </c>
      <c r="Z7" s="133" t="e">
        <f t="array" ref="Z7:Z64">IF(W3=1,_N1,IF(W3=2,_N2,IF(W3=3,_N3)))</f>
        <v>#N/A</v>
      </c>
      <c r="AC7" s="479">
        <f>MAX(I21:R22)</f>
        <v>0</v>
      </c>
      <c r="AD7" s="479">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4456</v>
      </c>
    </row>
    <row r="8" spans="1:39" ht="14.85" customHeight="1">
      <c r="A8" s="1"/>
      <c r="B8" s="1"/>
      <c r="C8" s="551" t="str">
        <f>'Translate&amp;Prices&amp;Logo'!$B$249</f>
        <v>Zákazník</v>
      </c>
      <c r="D8" s="551"/>
      <c r="E8" s="551"/>
      <c r="F8" s="551"/>
      <c r="G8" s="551"/>
      <c r="H8" s="290"/>
      <c r="I8" s="552"/>
      <c r="J8" s="552"/>
      <c r="K8" s="552"/>
      <c r="L8" s="552"/>
      <c r="M8" s="552"/>
      <c r="N8" s="552"/>
      <c r="S8" s="1"/>
      <c r="T8" s="1"/>
      <c r="Z8" s="133" t="e">
        <v>#N/A</v>
      </c>
      <c r="AE8" s="1"/>
      <c r="AF8" s="1"/>
      <c r="AG8" s="1"/>
      <c r="AH8" s="1"/>
      <c r="AI8" s="1"/>
      <c r="AJ8" s="1">
        <f>HLOOKUP(AI7,AJ3:AM5,3,0)</f>
        <v>3</v>
      </c>
      <c r="AK8" s="133" t="s">
        <v>4369</v>
      </c>
    </row>
    <row r="9" spans="1:39" ht="14.85" customHeight="1">
      <c r="A9" s="1"/>
      <c r="B9" s="1"/>
      <c r="C9" s="1"/>
      <c r="D9" s="1"/>
      <c r="E9" s="1"/>
      <c r="F9" s="1"/>
      <c r="G9" s="1"/>
      <c r="H9" s="1"/>
      <c r="I9" s="1"/>
      <c r="J9" s="1"/>
      <c r="K9" s="1"/>
      <c r="L9" s="1"/>
      <c r="M9" s="1"/>
      <c r="N9" s="1"/>
      <c r="S9" s="1"/>
      <c r="T9" s="1"/>
      <c r="U9" s="133" t="e">
        <f>IF(W3=2,'Translate&amp;Prices&amp;Logo'!C94,0)</f>
        <v>#N/A</v>
      </c>
      <c r="V9" s="133" t="s">
        <v>1931</v>
      </c>
      <c r="Z9" s="133" t="e">
        <v>#N/A</v>
      </c>
      <c r="AE9" s="439">
        <f>IF(AND(Hlavní!V39=3,I16="Dostawa na adres"),IF(AE8=6,AJ7,HLOOKUP(AE8,AE6:AI7,2,0)),0)</f>
        <v>0</v>
      </c>
      <c r="AF9" s="1"/>
      <c r="AG9" s="1"/>
      <c r="AH9" s="1"/>
      <c r="AI9" s="1"/>
      <c r="AJ9" s="1">
        <f>I30</f>
        <v>0</v>
      </c>
      <c r="AK9" s="133" t="s">
        <v>4374</v>
      </c>
    </row>
    <row r="10" spans="1:39" ht="14.85" customHeight="1">
      <c r="A10" s="1"/>
      <c r="B10" s="1"/>
      <c r="C10" s="551" t="str">
        <f>'Translate&amp;Prices&amp;Logo'!$B$253</f>
        <v>IČ:</v>
      </c>
      <c r="D10" s="551"/>
      <c r="E10" s="551"/>
      <c r="F10" s="551"/>
      <c r="G10" s="551"/>
      <c r="H10" s="290"/>
      <c r="I10" s="552"/>
      <c r="J10" s="552"/>
      <c r="K10" s="552"/>
      <c r="L10" s="552"/>
      <c r="M10" s="552"/>
      <c r="N10" s="552"/>
      <c r="S10" s="1"/>
      <c r="T10" s="1"/>
      <c r="U10" s="133">
        <f>IFERROR(IF(W3=3,(VLOOKUP(I27,'Translate&amp;Prices&amp;Logo'!B91:C93,2,0))*((I21/1000)*(I22/1000)),0),0)</f>
        <v>0</v>
      </c>
      <c r="V10" s="133" t="s">
        <v>1932</v>
      </c>
      <c r="Z10" s="133" t="e">
        <v>#N/A</v>
      </c>
      <c r="AJ10" s="133">
        <f>CEILING(AJ9/AJ8,1)</f>
        <v>0</v>
      </c>
      <c r="AK10" s="133" t="s">
        <v>4420</v>
      </c>
    </row>
    <row r="11" spans="1:39" ht="14.85" customHeight="1">
      <c r="A11" s="1"/>
      <c r="B11" s="1"/>
      <c r="C11" s="1"/>
      <c r="D11" s="1"/>
      <c r="E11" s="1"/>
      <c r="F11" s="1"/>
      <c r="G11" s="1"/>
      <c r="H11" s="1"/>
      <c r="I11" s="1"/>
      <c r="J11" s="1"/>
      <c r="K11" s="1"/>
      <c r="L11" s="1"/>
      <c r="M11" s="1"/>
      <c r="N11" s="1"/>
      <c r="S11" s="1"/>
      <c r="T11" s="1"/>
      <c r="Z11" s="133" t="e">
        <v>#N/A</v>
      </c>
      <c r="AJ11" s="133">
        <f>AJ10*AJ7</f>
        <v>0</v>
      </c>
      <c r="AK11" s="133" t="s">
        <v>3624</v>
      </c>
    </row>
    <row r="12" spans="1:39" ht="14.85" customHeight="1">
      <c r="A12" s="1"/>
      <c r="B12" s="1"/>
      <c r="C12" s="551" t="str">
        <f>'Translate&amp;Prices&amp;Logo'!$B$250</f>
        <v>Kontaktný tel.</v>
      </c>
      <c r="D12" s="551"/>
      <c r="E12" s="551"/>
      <c r="F12" s="551"/>
      <c r="G12" s="551"/>
      <c r="H12" s="290"/>
      <c r="I12" s="552"/>
      <c r="J12" s="552"/>
      <c r="K12" s="552"/>
      <c r="L12" s="552"/>
      <c r="M12" s="552"/>
      <c r="N12" s="552"/>
      <c r="S12" s="1"/>
      <c r="T12" s="1"/>
      <c r="V12" s="133" t="str">
        <f>'Translate&amp;Prices&amp;Logo'!B95</f>
        <v>Lesk</v>
      </c>
      <c r="Z12" s="133" t="e">
        <v>#N/A</v>
      </c>
    </row>
    <row r="13" spans="1:39" ht="14.85" customHeight="1">
      <c r="A13" s="1"/>
      <c r="B13" s="1"/>
      <c r="C13" s="1"/>
      <c r="D13" s="1"/>
      <c r="E13" s="1"/>
      <c r="F13" s="1"/>
      <c r="G13" s="1"/>
      <c r="H13" s="1"/>
      <c r="I13" s="1"/>
      <c r="J13" s="1"/>
      <c r="K13" s="1"/>
      <c r="L13" s="1"/>
      <c r="M13" s="1"/>
      <c r="N13" s="1"/>
      <c r="S13" s="1"/>
      <c r="T13" s="1"/>
      <c r="V13" s="133" t="str">
        <f>'Translate&amp;Prices&amp;Logo'!B96</f>
        <v>Mat</v>
      </c>
      <c r="Z13" s="133" t="e">
        <v>#N/A</v>
      </c>
    </row>
    <row r="14" spans="1:39" ht="14.85" customHeight="1">
      <c r="A14" s="1"/>
      <c r="B14" s="1"/>
      <c r="C14" s="551" t="str">
        <f>'Translate&amp;Prices&amp;Logo'!$B$723</f>
        <v>Zľava</v>
      </c>
      <c r="D14" s="551"/>
      <c r="E14" s="551"/>
      <c r="F14" s="551"/>
      <c r="G14" s="551"/>
      <c r="H14" s="290"/>
      <c r="I14" s="552"/>
      <c r="J14" s="552"/>
      <c r="K14" s="552"/>
      <c r="L14" s="552"/>
      <c r="M14" s="552"/>
      <c r="N14" s="552"/>
      <c r="S14" s="1"/>
      <c r="T14" s="1"/>
      <c r="Z14" s="133" t="e">
        <v>#N/A</v>
      </c>
    </row>
    <row r="15" spans="1:39" ht="14.85" customHeight="1">
      <c r="A15" s="1"/>
      <c r="B15" s="1"/>
      <c r="C15" s="1"/>
      <c r="D15" s="1"/>
      <c r="E15" s="1"/>
      <c r="F15" s="1"/>
      <c r="G15" s="1"/>
      <c r="H15" s="1"/>
      <c r="I15" s="1"/>
      <c r="J15" s="1"/>
      <c r="K15" s="1"/>
      <c r="L15" s="1"/>
      <c r="M15" s="1"/>
      <c r="N15" s="1"/>
      <c r="O15" s="1"/>
      <c r="P15" s="294"/>
      <c r="Q15" s="294"/>
      <c r="R15" s="294"/>
      <c r="S15" s="294"/>
      <c r="T15" s="294"/>
      <c r="Z15" s="133" t="e">
        <v>#N/A</v>
      </c>
    </row>
    <row r="16" spans="1:39" ht="14.85" customHeight="1">
      <c r="A16" s="1"/>
      <c r="B16" s="1"/>
      <c r="C16" s="548" t="str">
        <f>IF(Hlavní!V39=3,"Dostawa","")</f>
        <v/>
      </c>
      <c r="D16" s="548"/>
      <c r="E16" s="548"/>
      <c r="F16" s="548"/>
      <c r="G16" s="548"/>
      <c r="H16" s="31"/>
      <c r="I16" s="547"/>
      <c r="J16" s="547"/>
      <c r="K16" s="547"/>
      <c r="L16" s="547"/>
      <c r="M16" s="547"/>
      <c r="N16" s="547"/>
      <c r="P16" s="294"/>
      <c r="Q16" s="294"/>
      <c r="R16" s="294"/>
      <c r="S16" s="294"/>
      <c r="T16" s="294"/>
      <c r="V16" s="133" t="e">
        <f>VLOOKUP(I29,'Translate&amp;Prices&amp;Logo'!B95:C96,2,0)</f>
        <v>#N/A</v>
      </c>
      <c r="W16" s="133" t="e">
        <f>V16*(2*(I21/1000))*(2*(I22/1000))</f>
        <v>#N/A</v>
      </c>
      <c r="Z16" s="133" t="e">
        <v>#N/A</v>
      </c>
    </row>
    <row r="17" spans="1:26" ht="48.75" customHeight="1">
      <c r="A17" s="1"/>
      <c r="B17" s="1"/>
      <c r="C17" s="566" t="str">
        <f>IF(I16="Dostawa na adres","W przypadku wyboru DOSTAWA NA ADRES do zamówienia zostanie automatycznie doliczona opłata transportowa","")</f>
        <v/>
      </c>
      <c r="D17" s="566"/>
      <c r="E17" s="566"/>
      <c r="F17" s="566"/>
      <c r="G17" s="566"/>
      <c r="H17" s="566"/>
      <c r="I17" s="566"/>
      <c r="J17" s="566"/>
      <c r="K17" s="566"/>
      <c r="L17" s="566"/>
      <c r="M17" s="566"/>
      <c r="N17" s="566"/>
      <c r="P17" s="294"/>
      <c r="R17" s="562" t="str">
        <f>IF(I16="Dostawa na adres","Cennik transportu - kliknij tutaj","")</f>
        <v/>
      </c>
      <c r="S17" s="562"/>
      <c r="T17" s="562"/>
      <c r="Z17" s="133" t="e">
        <v>#N/A</v>
      </c>
    </row>
    <row r="18" spans="1:26" ht="14.85" customHeight="1">
      <c r="A18" s="1"/>
      <c r="B18" s="1"/>
      <c r="C18" s="548" t="str">
        <f>IF(Hlavní!V39=3,"Adres","")</f>
        <v/>
      </c>
      <c r="D18" s="548"/>
      <c r="E18" s="548"/>
      <c r="F18" s="548"/>
      <c r="G18" s="548"/>
      <c r="H18" s="31"/>
      <c r="I18" s="540"/>
      <c r="J18" s="540"/>
      <c r="K18" s="540"/>
      <c r="L18" s="540"/>
      <c r="M18" s="540"/>
      <c r="N18" s="540"/>
      <c r="O18" s="540"/>
      <c r="P18" s="540"/>
      <c r="Q18" s="540"/>
      <c r="R18" s="540"/>
      <c r="S18" s="1"/>
      <c r="T18" s="1"/>
      <c r="Z18" s="133" t="e">
        <v>#N/A</v>
      </c>
    </row>
    <row r="19" spans="1:26" ht="14.85" customHeight="1">
      <c r="A19" s="1"/>
      <c r="B19" s="1"/>
      <c r="I19" s="540"/>
      <c r="J19" s="540"/>
      <c r="K19" s="540"/>
      <c r="L19" s="540"/>
      <c r="M19" s="540"/>
      <c r="N19" s="540"/>
      <c r="O19" s="540"/>
      <c r="P19" s="540"/>
      <c r="Q19" s="540"/>
      <c r="R19" s="540"/>
      <c r="S19" s="1"/>
      <c r="T19" s="1"/>
      <c r="V19" s="133">
        <f>IFERROR((VLOOKUP(I28,'Translate&amp;Prices&amp;Logo'!B99:D163,2,0))*((I21/1000)*(I22/1000))+U9+U10+W16,0)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49" t="str">
        <f>'Translate&amp;Prices&amp;Logo'!$B$175</f>
        <v>Šírka</v>
      </c>
      <c r="D21" s="550"/>
      <c r="E21" s="550"/>
      <c r="F21" s="550"/>
      <c r="G21" s="550"/>
      <c r="H21" s="98"/>
      <c r="I21" s="560"/>
      <c r="J21" s="560"/>
      <c r="K21" s="560"/>
      <c r="L21" s="560"/>
      <c r="M21" s="560"/>
      <c r="N21" s="560"/>
      <c r="O21" s="560"/>
      <c r="P21" s="560"/>
      <c r="Q21" s="560"/>
      <c r="R21" s="561"/>
      <c r="S21" s="1"/>
      <c r="T21" s="1"/>
      <c r="Z21" s="133" t="e">
        <v>#N/A</v>
      </c>
    </row>
    <row r="22" spans="1:26" ht="14.85" customHeight="1">
      <c r="A22" s="1"/>
      <c r="B22" s="1"/>
      <c r="C22" s="549" t="str">
        <f>'Translate&amp;Prices&amp;Logo'!$B$176</f>
        <v>Výška</v>
      </c>
      <c r="D22" s="550"/>
      <c r="E22" s="550"/>
      <c r="F22" s="550"/>
      <c r="G22" s="550"/>
      <c r="H22" s="98"/>
      <c r="I22" s="560"/>
      <c r="J22" s="560"/>
      <c r="K22" s="560"/>
      <c r="L22" s="560"/>
      <c r="M22" s="560"/>
      <c r="N22" s="560"/>
      <c r="O22" s="560"/>
      <c r="P22" s="560"/>
      <c r="Q22" s="560"/>
      <c r="R22" s="561"/>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'Translate&amp;Prices&amp;Logo'!B91</f>
        <v>transparentné</v>
      </c>
      <c r="Z23" s="133" t="e">
        <v>#N/A</v>
      </c>
    </row>
    <row r="24" spans="1:26" ht="14.85" customHeight="1">
      <c r="C24" s="549" t="str">
        <f>'Translate&amp;Prices&amp;Logo'!$B$173</f>
        <v>Typ upravy skla</v>
      </c>
      <c r="D24" s="550"/>
      <c r="E24" s="550"/>
      <c r="F24" s="550"/>
      <c r="G24" s="550"/>
      <c r="H24" s="98"/>
      <c r="I24" s="553"/>
      <c r="J24" s="553"/>
      <c r="K24" s="553"/>
      <c r="L24" s="553"/>
      <c r="M24" s="553"/>
      <c r="N24" s="553"/>
      <c r="O24" s="553"/>
      <c r="P24" s="553"/>
      <c r="Q24" s="553"/>
      <c r="R24" s="554"/>
      <c r="V24" s="133" t="str">
        <f>'Translate&amp;Prices&amp;Logo'!B92</f>
        <v>biela</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'Translate&amp;Prices&amp;Logo'!B93</f>
        <v>čierna</v>
      </c>
      <c r="Z25" s="133" t="e">
        <v>#N/A</v>
      </c>
    </row>
    <row r="26" spans="1:26" ht="14.85" customHeight="1">
      <c r="C26" s="119"/>
      <c r="D26" s="115"/>
      <c r="E26" s="115"/>
      <c r="F26" s="115"/>
      <c r="G26" s="115"/>
      <c r="H26" s="99"/>
      <c r="I26" s="543" t="str">
        <f>"↥↥"&amp;"   "&amp;'Translate&amp;Prices&amp;Logo'!$B$573&amp;" "&amp;C28&amp;"   "&amp;"↥↥"</f>
        <v>↥↥   Už nemeniť po tom čo vyberiete typ skla/sieťky Typ skla/sieťky   ↥↥</v>
      </c>
      <c r="J26" s="543"/>
      <c r="K26" s="543"/>
      <c r="L26" s="543"/>
      <c r="M26" s="543"/>
      <c r="N26" s="543"/>
      <c r="O26" s="543"/>
      <c r="P26" s="543"/>
      <c r="Q26" s="543"/>
      <c r="R26" s="544"/>
      <c r="Z26" s="133" t="e">
        <v>#N/A</v>
      </c>
    </row>
    <row r="27" spans="1:26" ht="14.85" customHeight="1">
      <c r="C27" s="549" t="str">
        <f>'Translate&amp;Prices&amp;Logo'!$B$562</f>
        <v>Typ fólie</v>
      </c>
      <c r="D27" s="550"/>
      <c r="E27" s="550"/>
      <c r="F27" s="550"/>
      <c r="G27" s="550"/>
      <c r="H27" s="98"/>
      <c r="I27" s="538"/>
      <c r="J27" s="538"/>
      <c r="K27" s="538"/>
      <c r="L27" s="538"/>
      <c r="M27" s="538"/>
      <c r="N27" s="538"/>
      <c r="O27" s="538"/>
      <c r="P27" s="538"/>
      <c r="Q27" s="538"/>
      <c r="R27" s="539"/>
      <c r="Z27" s="133" t="e">
        <v>#N/A</v>
      </c>
    </row>
    <row r="28" spans="1:26" ht="14.85" customHeight="1">
      <c r="C28" s="549" t="str">
        <f>'Translate&amp;Prices&amp;Logo'!$B$625</f>
        <v>Typ skla/sieťky</v>
      </c>
      <c r="D28" s="550"/>
      <c r="E28" s="550"/>
      <c r="F28" s="550"/>
      <c r="G28" s="550"/>
      <c r="H28" s="98"/>
      <c r="I28" s="538"/>
      <c r="J28" s="538"/>
      <c r="K28" s="538"/>
      <c r="L28" s="538"/>
      <c r="M28" s="538"/>
      <c r="N28" s="538"/>
      <c r="O28" s="538"/>
      <c r="P28" s="538"/>
      <c r="Q28" s="538"/>
      <c r="R28" s="539"/>
      <c r="Z28" s="133" t="e">
        <v>#N/A</v>
      </c>
    </row>
    <row r="29" spans="1:26" ht="14.85" customHeight="1">
      <c r="C29" s="549" t="str">
        <f>'Translate&amp;Prices&amp;Logo'!$B$658</f>
        <v>Brúsenie hrán</v>
      </c>
      <c r="D29" s="550"/>
      <c r="E29" s="550"/>
      <c r="F29" s="550"/>
      <c r="G29" s="550"/>
      <c r="H29" s="98"/>
      <c r="I29" s="538"/>
      <c r="J29" s="538"/>
      <c r="K29" s="538"/>
      <c r="L29" s="538"/>
      <c r="M29" s="538"/>
      <c r="N29" s="538"/>
      <c r="O29" s="538"/>
      <c r="P29" s="538"/>
      <c r="Q29" s="538"/>
      <c r="R29" s="539"/>
      <c r="Z29" s="133" t="e">
        <v>#N/A</v>
      </c>
    </row>
    <row r="30" spans="1:26" ht="14.85" customHeight="1">
      <c r="C30" s="549" t="str">
        <f>('Translate&amp;Prices&amp;Logo'!$B$174)</f>
        <v>Počet kusov</v>
      </c>
      <c r="D30" s="550"/>
      <c r="E30" s="550"/>
      <c r="F30" s="550"/>
      <c r="G30" s="550"/>
      <c r="H30" s="98"/>
      <c r="I30" s="538"/>
      <c r="J30" s="538"/>
      <c r="K30" s="538"/>
      <c r="L30" s="538"/>
      <c r="M30" s="538"/>
      <c r="N30" s="538"/>
      <c r="O30" s="538"/>
      <c r="P30" s="538"/>
      <c r="Q30" s="538"/>
      <c r="R30" s="539"/>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67" t="str">
        <f>'Translate&amp;Prices&amp;Logo'!$B$692</f>
        <v>Cena</v>
      </c>
      <c r="D32" s="568"/>
      <c r="E32" s="568"/>
      <c r="F32" s="568"/>
      <c r="G32" s="568"/>
      <c r="H32" s="568"/>
      <c r="I32" s="568"/>
      <c r="J32" s="568"/>
      <c r="K32" s="568"/>
      <c r="L32" s="571"/>
      <c r="M32" s="555">
        <f>V19*I30*(1-I14/100)</f>
        <v>0</v>
      </c>
      <c r="N32" s="555"/>
      <c r="O32" s="555"/>
      <c r="P32" s="555"/>
      <c r="Q32" s="555"/>
      <c r="R32" s="557" t="str">
        <f>VLOOKUP('Translate&amp;Prices&amp;Logo'!D1,'závěsy dle výklopu'!A204:B209,2,0)</f>
        <v>€</v>
      </c>
      <c r="Z32" s="133" t="e">
        <v>#N/A</v>
      </c>
    </row>
    <row r="33" spans="3:26" ht="14.85" customHeight="1">
      <c r="C33" s="569"/>
      <c r="D33" s="570"/>
      <c r="E33" s="570"/>
      <c r="F33" s="570"/>
      <c r="G33" s="570"/>
      <c r="H33" s="570"/>
      <c r="I33" s="570"/>
      <c r="J33" s="570"/>
      <c r="K33" s="570"/>
      <c r="L33" s="572"/>
      <c r="M33" s="556"/>
      <c r="N33" s="556"/>
      <c r="O33" s="556"/>
      <c r="P33" s="556"/>
      <c r="Q33" s="556"/>
      <c r="R33" s="558"/>
      <c r="Z33" s="133" t="e">
        <v>#N/A</v>
      </c>
    </row>
    <row r="34" spans="3:26" ht="14.85" customHeight="1">
      <c r="Z34" s="133" t="e">
        <v>#N/A</v>
      </c>
    </row>
    <row r="35" spans="3:26" ht="14.85" customHeight="1">
      <c r="C35" s="564" t="str">
        <f>IF(I16="Dostawa na adres","Koszt transportu","")</f>
        <v/>
      </c>
      <c r="D35" s="564"/>
      <c r="E35" s="564"/>
      <c r="F35" s="564"/>
      <c r="G35" s="564"/>
      <c r="H35" s="564"/>
      <c r="I35" s="564"/>
      <c r="J35" s="564"/>
      <c r="K35" s="564"/>
      <c r="L35" s="565"/>
      <c r="M35" s="559" t="str">
        <f>IF(AND(I16="Dostawa na adres",I30&gt;0),AJ11,"")</f>
        <v/>
      </c>
      <c r="N35" s="559"/>
      <c r="O35" s="559"/>
      <c r="P35" s="559"/>
      <c r="Q35" s="559"/>
      <c r="R35" s="563" t="str">
        <f>VLOOKUP('Translate&amp;Prices&amp;Logo'!D1,'závěsy dle výklopu'!A204:B209,2,0)</f>
        <v>€</v>
      </c>
      <c r="Z35" s="133" t="e">
        <v>#N/A</v>
      </c>
    </row>
    <row r="36" spans="3:26" ht="14.85" customHeight="1">
      <c r="C36" s="564"/>
      <c r="D36" s="564"/>
      <c r="E36" s="564"/>
      <c r="F36" s="564"/>
      <c r="G36" s="564"/>
      <c r="H36" s="564"/>
      <c r="I36" s="564"/>
      <c r="J36" s="564"/>
      <c r="K36" s="564"/>
      <c r="L36" s="565"/>
      <c r="M36" s="559"/>
      <c r="N36" s="559"/>
      <c r="O36" s="559"/>
      <c r="P36" s="559"/>
      <c r="Q36" s="559"/>
      <c r="R36" s="563"/>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rNYqL0qvpQM0CqQFHjv/ASwG80K0JTCGPLI41Xr4u4SEEomyWuLZlp0iOPT9FIfJdIrBq8Wjexp6v/E22RwQuw==" saltValue="EVSYsMfGjENcFIB5wxm4N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2" priority="13">
      <formula>$I$16="Dostawa na adres"</formula>
    </cfRule>
  </conditionalFormatting>
  <conditionalFormatting sqref="C35:K36">
    <cfRule type="expression" dxfId="500" priority="5">
      <formula>$I$16="Dostawa na adres"</formula>
    </cfRule>
  </conditionalFormatting>
  <conditionalFormatting sqref="C27:R27">
    <cfRule type="expression" dxfId="499" priority="18">
      <formula>$W$3&lt;3</formula>
    </cfRule>
  </conditionalFormatting>
  <conditionalFormatting sqref="H18">
    <cfRule type="expression" dxfId="497" priority="12">
      <formula>$I$16="Dostawa na adres"</formula>
    </cfRule>
  </conditionalFormatting>
  <conditionalFormatting sqref="I18">
    <cfRule type="expression" dxfId="495" priority="6">
      <formula>$I$16="Dostawa na adres"</formula>
    </cfRule>
  </conditionalFormatting>
  <conditionalFormatting sqref="I18:R19">
    <cfRule type="expression" dxfId="494" priority="2">
      <formula>$I$16="Dostawa na adres"</formula>
    </cfRule>
  </conditionalFormatting>
  <conditionalFormatting sqref="L35:L36">
    <cfRule type="expression" dxfId="493" priority="4">
      <formula>$I$16="Dostawa na adres"</formula>
    </cfRule>
  </conditionalFormatting>
  <conditionalFormatting sqref="M35 R35">
    <cfRule type="expression" dxfId="492"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'Translate&amp;Prices&amp;Logo'!$B$628</f>
        <v>krížová skrutka</v>
      </c>
      <c r="L1" s="33">
        <v>6</v>
      </c>
      <c r="M1" s="33" t="str">
        <f>'Translate&amp;Prices&amp;Logo'!$B$629</f>
        <v>na vrut (s excentrom)</v>
      </c>
      <c r="N1" s="33">
        <v>8</v>
      </c>
      <c r="O1" s="33" t="str">
        <f>'Translate&amp;Prices&amp;Logo'!$B$630</f>
        <v>euroskrut</v>
      </c>
      <c r="P1" s="33">
        <v>10</v>
      </c>
      <c r="Q1" s="33" t="str">
        <f>'Translate&amp;Prices&amp;Logo'!$B$631</f>
        <v>křížová expando</v>
      </c>
      <c r="R1" s="33">
        <v>12</v>
      </c>
      <c r="S1" s="33" t="str">
        <f>'Translate&amp;Prices&amp;Logo'!$B$632</f>
        <v>priama Skrut</v>
      </c>
      <c r="T1" s="33">
        <v>14</v>
      </c>
      <c r="U1" s="33" t="str">
        <f>'Translate&amp;Prices&amp;Logo'!$B$633</f>
        <v>přímá euro</v>
      </c>
      <c r="V1" s="33">
        <v>16</v>
      </c>
      <c r="W1" s="33" t="str">
        <f>'Translate&amp;Prices&amp;Logo'!$B$634</f>
        <v>přímá hmoždinka</v>
      </c>
      <c r="X1" s="32">
        <v>18</v>
      </c>
      <c r="AC1" s="33" t="str">
        <f>$K$1</f>
        <v>krížová skrutka</v>
      </c>
      <c r="AD1" s="159">
        <v>6</v>
      </c>
      <c r="AE1" s="32" t="e">
        <f>VLOOKUP(Ram_1!$H$15,$G:$X,AD1,0)</f>
        <v>#N/A</v>
      </c>
    </row>
    <row r="2" spans="1:31" ht="16.350000000000001" customHeight="1">
      <c r="A2" s="37" t="s">
        <v>1101</v>
      </c>
      <c r="B2" s="37" t="s">
        <v>2</v>
      </c>
      <c r="C2" s="37" t="str">
        <f>'Translate&amp;Prices&amp;Logo'!B553</f>
        <v>Naložený</v>
      </c>
      <c r="D2" s="32" t="str">
        <f>VLOOKUP(CONCATENATE(A2,"_",B2,"_",C2),$A$69:$B$383,2,0)</f>
        <v>úzký_BLUM_Naložený</v>
      </c>
      <c r="E2" s="37" t="str">
        <f>'Translate&amp;Prices&amp;Logo'!$B$582</f>
        <v>s pružinou a tlmením</v>
      </c>
      <c r="F2" s="34" t="str">
        <f>'Translate&amp;Prices&amp;Logo'!$B$585</f>
        <v>strieborná</v>
      </c>
      <c r="G2" s="34" t="str">
        <f>CONCATENATE(H2," ","-"," ",C2," ",E2," - ",F2)</f>
        <v>118033 - Naložený s pružinou a tlmením - strieborná</v>
      </c>
      <c r="H2" s="35">
        <v>118033</v>
      </c>
      <c r="I2" s="35" t="s">
        <v>1103</v>
      </c>
      <c r="J2" s="35" t="s">
        <v>1103</v>
      </c>
      <c r="K2" s="35">
        <v>12306</v>
      </c>
      <c r="L2" s="35" t="str">
        <f>CONCATENATE($K$1," - ",K2)</f>
        <v>krížová skrutka - 12306</v>
      </c>
      <c r="M2" s="35" t="s">
        <v>2122</v>
      </c>
      <c r="N2" s="35" t="str">
        <f>CONCATENATE($M$1," - ",M2)</f>
        <v>na vrut (s excentrom) - N/A</v>
      </c>
      <c r="O2" s="35">
        <v>12318</v>
      </c>
      <c r="P2" s="35" t="str">
        <f>CONCATENATE($O$1," - ",O2)</f>
        <v>euroskrut - 12318</v>
      </c>
      <c r="Q2" s="35">
        <v>12302</v>
      </c>
      <c r="R2" s="35" t="str">
        <f>CONCATENATE($Q$1," - ",Q2)</f>
        <v>křížová expando - 12302</v>
      </c>
      <c r="S2" s="35">
        <v>203387</v>
      </c>
      <c r="T2" s="35" t="str">
        <f>CONCATENATE($S$1," - ",S2)</f>
        <v>priama Skrut - 203387</v>
      </c>
      <c r="U2" s="35">
        <v>346624</v>
      </c>
      <c r="V2" s="35" t="str">
        <f>CONCATENATE($U$1," - ",U2)</f>
        <v>přímá euro - 346624</v>
      </c>
      <c r="W2" s="35">
        <v>211476</v>
      </c>
      <c r="X2" s="35" t="str">
        <f>CONCATENATE($W$1," - ",W2)</f>
        <v>přímá hmoždinka - 211476</v>
      </c>
      <c r="Y2" s="34"/>
      <c r="Z2" s="34"/>
      <c r="AC2" s="33" t="str">
        <f>$M$1</f>
        <v>na vrut (s excentrom)</v>
      </c>
      <c r="AD2" s="34">
        <v>8</v>
      </c>
      <c r="AE2" s="32" t="e">
        <f>VLOOKUP(Ram_1!$H$15,$G:$X,AD2,0)</f>
        <v>#N/A</v>
      </c>
    </row>
    <row r="3" spans="1:31" ht="16.350000000000001" customHeight="1">
      <c r="A3" s="37" t="s">
        <v>1101</v>
      </c>
      <c r="B3" s="37" t="s">
        <v>2</v>
      </c>
      <c r="C3" s="37" t="str">
        <f>'Translate&amp;Prices&amp;Logo'!B553</f>
        <v>Naložený</v>
      </c>
      <c r="D3" s="32" t="str">
        <f t="shared" ref="D3:D66" si="0">VLOOKUP(CONCATENATE(A3,"_",B3,"_",C3),$A$69:$B$383,2,0)</f>
        <v>úzký_BLUM_Naložený</v>
      </c>
      <c r="E3" s="37" t="str">
        <f>'Translate&amp;Prices&amp;Logo'!$B$583</f>
        <v>s pružinou bez tlmenia</v>
      </c>
      <c r="F3" s="34" t="str">
        <f>'Translate&amp;Prices&amp;Logo'!$B$585</f>
        <v>strieborná</v>
      </c>
      <c r="G3" s="34" t="str">
        <f t="shared" ref="G3:G20" si="1">CONCATENATE(H3," ","-"," ",C3," ",E3," - ",F3)</f>
        <v>12106 - Naložený s pružinou bez tlmenia - strieborná</v>
      </c>
      <c r="H3" s="35">
        <v>12106</v>
      </c>
      <c r="I3" s="35" t="s">
        <v>1103</v>
      </c>
      <c r="J3" s="35" t="s">
        <v>1103</v>
      </c>
      <c r="K3" s="35">
        <v>12306</v>
      </c>
      <c r="L3" s="35" t="str">
        <f t="shared" ref="L3:L66" si="2">CONCATENATE($K$1," - ",K3)</f>
        <v>krížová skrutka - 12306</v>
      </c>
      <c r="M3" s="35" t="s">
        <v>2122</v>
      </c>
      <c r="N3" s="35" t="str">
        <f t="shared" ref="N3:N66" si="3">CONCATENATE($M$1," - ",M3)</f>
        <v>na vrut (s excentrom) - N/A</v>
      </c>
      <c r="O3" s="35">
        <v>12318</v>
      </c>
      <c r="P3" s="35" t="str">
        <f t="shared" ref="P3:P66" si="4">CONCATENATE($O$1," - ",O3)</f>
        <v>euroskrut - 12318</v>
      </c>
      <c r="Q3" s="35">
        <v>12302</v>
      </c>
      <c r="R3" s="35" t="str">
        <f t="shared" ref="R3:R66" si="5">CONCATENATE($Q$1," - ",Q3)</f>
        <v>křížová expando - 12302</v>
      </c>
      <c r="S3" s="35">
        <v>203387</v>
      </c>
      <c r="T3" s="35" t="str">
        <f t="shared" ref="T3:T66" si="6">CONCATENATE($S$1," - ",S3)</f>
        <v>priama Skrut - 203387</v>
      </c>
      <c r="U3" s="35">
        <v>346624</v>
      </c>
      <c r="V3" s="35" t="str">
        <f t="shared" ref="V3:V66" si="7">CONCATENATE($U$1," - ",U3)</f>
        <v>přímá euro - 346624</v>
      </c>
      <c r="W3" s="35">
        <v>211476</v>
      </c>
      <c r="X3" s="35" t="str">
        <f t="shared" ref="X3:X66" si="8">CONCATENATE($W$1," - ",W3)</f>
        <v>přímá hmoždinka - 211476</v>
      </c>
      <c r="Y3" s="34"/>
      <c r="Z3" s="34"/>
      <c r="AC3" s="33" t="str">
        <f>$O$1</f>
        <v>euroskrut</v>
      </c>
      <c r="AD3" s="159">
        <v>10</v>
      </c>
      <c r="AE3" s="32" t="e">
        <f>VLOOKUP(Ram_1!$H$15,$G:$X,AD3,0)</f>
        <v>#N/A</v>
      </c>
    </row>
    <row r="4" spans="1:31" ht="16.350000000000001" customHeight="1">
      <c r="A4" s="37" t="s">
        <v>1101</v>
      </c>
      <c r="B4" s="37" t="s">
        <v>2</v>
      </c>
      <c r="C4" s="37" t="str">
        <f>'Translate&amp;Prices&amp;Logo'!B553</f>
        <v>Naložený</v>
      </c>
      <c r="D4" s="32" t="str">
        <f t="shared" si="0"/>
        <v>úzký_BLUM_Naložený</v>
      </c>
      <c r="E4" s="37" t="str">
        <f>'Translate&amp;Prices&amp;Logo'!$B$583</f>
        <v>s pružinou bez tlmenia</v>
      </c>
      <c r="F4" s="34" t="s">
        <v>2569</v>
      </c>
      <c r="G4" s="34" t="str">
        <f t="shared" si="1"/>
        <v>306329 - Naložený s pružinou bez tlmenia - onyx</v>
      </c>
      <c r="H4" s="35">
        <v>306329</v>
      </c>
      <c r="I4" s="35" t="s">
        <v>1103</v>
      </c>
      <c r="J4" s="35" t="s">
        <v>1103</v>
      </c>
      <c r="K4" s="35">
        <v>458360</v>
      </c>
      <c r="L4" s="35" t="str">
        <f t="shared" si="2"/>
        <v>krížová skrutka - 458360</v>
      </c>
      <c r="M4" s="35" t="s">
        <v>2122</v>
      </c>
      <c r="N4" s="35" t="str">
        <f t="shared" si="3"/>
        <v>na vrut (s excentrom) - N/A</v>
      </c>
      <c r="O4" s="35" t="s">
        <v>2122</v>
      </c>
      <c r="P4" s="35" t="str">
        <f t="shared" si="4"/>
        <v>euroskrut - N/A</v>
      </c>
      <c r="Q4" s="35">
        <v>347124</v>
      </c>
      <c r="R4" s="35" t="str">
        <f t="shared" si="5"/>
        <v>křížová expando - 347124</v>
      </c>
      <c r="S4" s="35">
        <v>306320</v>
      </c>
      <c r="T4" s="35" t="str">
        <f t="shared" si="6"/>
        <v>priama Skrut - 306320</v>
      </c>
      <c r="U4" s="35" t="s">
        <v>2122</v>
      </c>
      <c r="V4" s="35" t="str">
        <f t="shared" si="7"/>
        <v>přímá euro - N/A</v>
      </c>
      <c r="W4" s="35">
        <v>409651</v>
      </c>
      <c r="X4" s="35" t="str">
        <f t="shared" si="8"/>
        <v>přímá hmoždinka - 409651</v>
      </c>
      <c r="Y4" s="34"/>
      <c r="Z4" s="34"/>
      <c r="AC4" s="33" t="str">
        <f>$Q$1</f>
        <v>křížová expando</v>
      </c>
      <c r="AD4" s="34">
        <v>12</v>
      </c>
      <c r="AE4" s="32" t="e">
        <f>VLOOKUP(Ram_1!$H$15,$G:$X,AD4,0)</f>
        <v>#N/A</v>
      </c>
    </row>
    <row r="5" spans="1:31" ht="16.350000000000001" customHeight="1">
      <c r="A5" s="37" t="s">
        <v>1101</v>
      </c>
      <c r="B5" s="37" t="s">
        <v>2</v>
      </c>
      <c r="C5" s="37" t="str">
        <f>'Translate&amp;Prices&amp;Logo'!B553</f>
        <v>Naložený</v>
      </c>
      <c r="D5" s="32" t="str">
        <f t="shared" si="0"/>
        <v>úzký_BLUM_Naložený</v>
      </c>
      <c r="E5" s="37" t="str">
        <f>'Translate&amp;Prices&amp;Logo'!$B$584</f>
        <v>tip-on bez pružiny / tlmenia</v>
      </c>
      <c r="F5" s="34" t="str">
        <f>'Translate&amp;Prices&amp;Logo'!$B$585</f>
        <v>strieborná</v>
      </c>
      <c r="G5" s="34" t="str">
        <f t="shared" si="1"/>
        <v>12109 - Naložený tip-on bez pružiny / tlmenia - strieborná</v>
      </c>
      <c r="H5" s="35">
        <v>12109</v>
      </c>
      <c r="I5" s="35" t="s">
        <v>1103</v>
      </c>
      <c r="J5" s="35">
        <v>13764</v>
      </c>
      <c r="K5" s="35">
        <v>12306</v>
      </c>
      <c r="L5" s="35" t="str">
        <f t="shared" si="2"/>
        <v>krížová skrutka - 12306</v>
      </c>
      <c r="M5" s="35" t="s">
        <v>2122</v>
      </c>
      <c r="N5" s="35" t="str">
        <f t="shared" si="3"/>
        <v>na vrut (s excentrom) - N/A</v>
      </c>
      <c r="O5" s="35">
        <v>12318</v>
      </c>
      <c r="P5" s="35" t="str">
        <f t="shared" si="4"/>
        <v>euroskrut - 12318</v>
      </c>
      <c r="Q5" s="35">
        <v>12302</v>
      </c>
      <c r="R5" s="35" t="str">
        <f t="shared" si="5"/>
        <v>křížová expando - 12302</v>
      </c>
      <c r="S5" s="35">
        <v>203387</v>
      </c>
      <c r="T5" s="35" t="str">
        <f t="shared" si="6"/>
        <v>priama Skrut - 203387</v>
      </c>
      <c r="U5" s="35">
        <v>346624</v>
      </c>
      <c r="V5" s="35" t="str">
        <f t="shared" si="7"/>
        <v>přímá euro - 346624</v>
      </c>
      <c r="W5" s="35">
        <v>211476</v>
      </c>
      <c r="X5" s="35" t="str">
        <f t="shared" si="8"/>
        <v>přímá hmoždinka - 211476</v>
      </c>
      <c r="Y5" s="34"/>
      <c r="Z5" s="34"/>
      <c r="AC5" s="33" t="str">
        <f>$S$1</f>
        <v>priama Skrut</v>
      </c>
      <c r="AD5" s="159">
        <v>14</v>
      </c>
      <c r="AE5" s="32" t="e">
        <f>VLOOKUP(Ram_1!$H$15,$G:$X,AD5,0)</f>
        <v>#N/A</v>
      </c>
    </row>
    <row r="6" spans="1:31" ht="16.350000000000001" customHeight="1">
      <c r="A6" s="37" t="s">
        <v>1101</v>
      </c>
      <c r="B6" s="37" t="s">
        <v>2</v>
      </c>
      <c r="C6" s="37" t="str">
        <f>'Translate&amp;Prices&amp;Logo'!B553</f>
        <v>Naložený</v>
      </c>
      <c r="D6" s="32" t="str">
        <f t="shared" ref="D6" si="9">VLOOKUP(CONCATENATE(A6,"_",B6,"_",C6),$A$69:$B$383,2,0)</f>
        <v>úzký_BLUM_Naložený</v>
      </c>
      <c r="E6" s="37" t="str">
        <f>'Translate&amp;Prices&amp;Logo'!$B$584</f>
        <v>tip-on bez pružiny / tlmenia</v>
      </c>
      <c r="F6" s="34" t="s">
        <v>2569</v>
      </c>
      <c r="G6" s="34" t="str">
        <f t="shared" si="1"/>
        <v>497120 - Naložený tip-on bez pružiny / tlmenia - onyx</v>
      </c>
      <c r="H6" s="35">
        <v>497120</v>
      </c>
      <c r="Q6" s="35">
        <v>347124</v>
      </c>
      <c r="R6" s="35" t="str">
        <f t="shared" si="5"/>
        <v>křížová expando - 347124</v>
      </c>
      <c r="S6" s="35">
        <v>306320</v>
      </c>
      <c r="T6" s="35" t="str">
        <f>CONCATENATE($S$1," - ",S6)</f>
        <v>priama Skrut - 306320</v>
      </c>
      <c r="X6" s="35"/>
      <c r="Y6" s="34"/>
      <c r="Z6" s="34"/>
      <c r="AC6" s="33"/>
      <c r="AD6" s="159"/>
      <c r="AE6" s="32"/>
    </row>
    <row r="7" spans="1:31" ht="16.350000000000001" customHeight="1">
      <c r="A7" s="34" t="s">
        <v>1101</v>
      </c>
      <c r="B7" s="34" t="s">
        <v>2</v>
      </c>
      <c r="C7" s="34" t="str">
        <f>'Translate&amp;Prices&amp;Logo'!B554</f>
        <v>Polonaložený</v>
      </c>
      <c r="D7" s="32" t="str">
        <f t="shared" si="0"/>
        <v>úzký_BLUM_Polonaložený</v>
      </c>
      <c r="E7" s="34" t="str">
        <f>'Translate&amp;Prices&amp;Logo'!$B$582</f>
        <v>s pružinou a tlmením</v>
      </c>
      <c r="F7" s="34" t="str">
        <f>'Translate&amp;Prices&amp;Logo'!$B$585</f>
        <v>strieborná</v>
      </c>
      <c r="G7" s="34" t="str">
        <f t="shared" si="1"/>
        <v>118120 - Polonaložený s pružinou a tlmením - strieborná</v>
      </c>
      <c r="H7" s="35">
        <v>118120</v>
      </c>
      <c r="I7" s="35" t="s">
        <v>1103</v>
      </c>
      <c r="J7" s="35" t="s">
        <v>1103</v>
      </c>
      <c r="K7" s="35">
        <v>12306</v>
      </c>
      <c r="L7" s="35" t="str">
        <f t="shared" si="2"/>
        <v>krížová skrutka - 12306</v>
      </c>
      <c r="M7" s="35" t="s">
        <v>2122</v>
      </c>
      <c r="N7" s="35" t="str">
        <f t="shared" si="3"/>
        <v>na vrut (s excentrom) - N/A</v>
      </c>
      <c r="O7" s="35">
        <v>12318</v>
      </c>
      <c r="P7" s="35" t="str">
        <f t="shared" si="4"/>
        <v>euroskrut - 12318</v>
      </c>
      <c r="Q7" s="35">
        <v>12302</v>
      </c>
      <c r="R7" s="35" t="str">
        <f t="shared" si="5"/>
        <v>křížová expando - 12302</v>
      </c>
      <c r="S7" s="35">
        <v>203387</v>
      </c>
      <c r="T7" s="35" t="str">
        <f t="shared" si="6"/>
        <v>priama Skrut - 203387</v>
      </c>
      <c r="U7" s="35">
        <v>346624</v>
      </c>
      <c r="V7" s="35" t="str">
        <f t="shared" si="7"/>
        <v>přímá euro - 346624</v>
      </c>
      <c r="W7" s="35">
        <v>211476</v>
      </c>
      <c r="X7" s="35" t="str">
        <f t="shared" si="8"/>
        <v>přímá hmoždinka - 211476</v>
      </c>
      <c r="Y7" s="34"/>
      <c r="Z7" s="34"/>
      <c r="AC7" s="33" t="str">
        <f>$U$1</f>
        <v>přímá euro</v>
      </c>
      <c r="AD7" s="34">
        <v>16</v>
      </c>
      <c r="AE7" s="32" t="e">
        <f>VLOOKUP(Ram_1!$H$15,$G:$X,AD7,0)</f>
        <v>#N/A</v>
      </c>
    </row>
    <row r="8" spans="1:31" ht="16.350000000000001" customHeight="1">
      <c r="A8" s="34" t="s">
        <v>1101</v>
      </c>
      <c r="B8" s="34" t="s">
        <v>2</v>
      </c>
      <c r="C8" s="34" t="str">
        <f>'Translate&amp;Prices&amp;Logo'!B554</f>
        <v>Polonaložený</v>
      </c>
      <c r="D8" s="32" t="str">
        <f t="shared" si="0"/>
        <v>úzký_BLUM_Polonaložený</v>
      </c>
      <c r="E8" s="34" t="str">
        <f>'Translate&amp;Prices&amp;Logo'!$B$583</f>
        <v>s pružinou bez tlmenia</v>
      </c>
      <c r="F8" s="34" t="str">
        <f>'Translate&amp;Prices&amp;Logo'!$B$585</f>
        <v>strieborná</v>
      </c>
      <c r="G8" s="34" t="str">
        <f t="shared" si="1"/>
        <v>12107 - Polonaložený s pružinou bez tlmenia - strieborná</v>
      </c>
      <c r="H8" s="35">
        <v>12107</v>
      </c>
      <c r="I8" s="35" t="s">
        <v>1103</v>
      </c>
      <c r="J8" s="35" t="s">
        <v>1103</v>
      </c>
      <c r="K8" s="35">
        <v>12306</v>
      </c>
      <c r="L8" s="35" t="str">
        <f t="shared" si="2"/>
        <v>krížová skrutka - 12306</v>
      </c>
      <c r="M8" s="35" t="s">
        <v>2122</v>
      </c>
      <c r="N8" s="35" t="str">
        <f t="shared" si="3"/>
        <v>na vrut (s excentrom) - N/A</v>
      </c>
      <c r="O8" s="35">
        <v>12318</v>
      </c>
      <c r="P8" s="35" t="str">
        <f t="shared" si="4"/>
        <v>euroskrut - 12318</v>
      </c>
      <c r="Q8" s="35">
        <v>12302</v>
      </c>
      <c r="R8" s="35" t="str">
        <f t="shared" si="5"/>
        <v>křížová expando - 12302</v>
      </c>
      <c r="S8" s="35">
        <v>203387</v>
      </c>
      <c r="T8" s="35" t="str">
        <f t="shared" si="6"/>
        <v>priama Skrut - 203387</v>
      </c>
      <c r="U8" s="35">
        <v>346624</v>
      </c>
      <c r="V8" s="35" t="str">
        <f t="shared" si="7"/>
        <v>přímá euro - 346624</v>
      </c>
      <c r="W8" s="35">
        <v>211476</v>
      </c>
      <c r="X8" s="35" t="str">
        <f t="shared" si="8"/>
        <v>přímá hmoždinka - 211476</v>
      </c>
      <c r="Y8" s="34"/>
      <c r="Z8" s="34"/>
      <c r="AC8" s="33" t="str">
        <f>$W$1</f>
        <v>přímá hmoždinka</v>
      </c>
      <c r="AD8" s="159">
        <v>18</v>
      </c>
      <c r="AE8" s="32" t="e">
        <f>VLOOKUP(Ram_1!$H$15,$G:$X,AD8,0)</f>
        <v>#N/A</v>
      </c>
    </row>
    <row r="9" spans="1:31" ht="16.350000000000001" customHeight="1">
      <c r="A9" s="37" t="s">
        <v>1101</v>
      </c>
      <c r="B9" s="37" t="s">
        <v>2</v>
      </c>
      <c r="C9" s="37" t="str">
        <f>'Translate&amp;Prices&amp;Logo'!B555</f>
        <v>Vložený</v>
      </c>
      <c r="D9" s="32" t="str">
        <f t="shared" si="0"/>
        <v>úzký_BLUM_Vložený</v>
      </c>
      <c r="E9" s="37" t="str">
        <f>'Translate&amp;Prices&amp;Logo'!$B$582</f>
        <v>s pružinou a tlmením</v>
      </c>
      <c r="F9" s="34" t="str">
        <f>'Translate&amp;Prices&amp;Logo'!$B$585</f>
        <v>strieborná</v>
      </c>
      <c r="G9" s="34" t="str">
        <f t="shared" si="1"/>
        <v>118121 - Vložený s pružinou a tlmením - strieborná</v>
      </c>
      <c r="H9" s="35">
        <v>118121</v>
      </c>
      <c r="I9" s="35" t="s">
        <v>1103</v>
      </c>
      <c r="J9" s="35" t="s">
        <v>1103</v>
      </c>
      <c r="K9" s="35">
        <v>12306</v>
      </c>
      <c r="L9" s="35" t="str">
        <f t="shared" si="2"/>
        <v>krížová skrutka - 12306</v>
      </c>
      <c r="M9" s="35" t="s">
        <v>2122</v>
      </c>
      <c r="N9" s="35" t="str">
        <f t="shared" si="3"/>
        <v>na vrut (s excentrom) - N/A</v>
      </c>
      <c r="O9" s="35">
        <v>12318</v>
      </c>
      <c r="P9" s="35" t="str">
        <f t="shared" si="4"/>
        <v>euroskrut - 12318</v>
      </c>
      <c r="Q9" s="35">
        <v>12302</v>
      </c>
      <c r="R9" s="35" t="str">
        <f t="shared" si="5"/>
        <v>křížová expando - 12302</v>
      </c>
      <c r="S9" s="35">
        <v>203387</v>
      </c>
      <c r="T9" s="35" t="str">
        <f t="shared" si="6"/>
        <v>priama Skrut - 203387</v>
      </c>
      <c r="U9" s="35">
        <v>346624</v>
      </c>
      <c r="V9" s="35" t="str">
        <f t="shared" si="7"/>
        <v>přímá euro - 346624</v>
      </c>
      <c r="W9" s="35">
        <v>211476</v>
      </c>
      <c r="X9" s="35" t="str">
        <f t="shared" si="8"/>
        <v>přímá hmoždinka - 211476</v>
      </c>
      <c r="Y9" s="34"/>
      <c r="Z9" s="34"/>
    </row>
    <row r="10" spans="1:31" ht="15">
      <c r="A10" s="37" t="s">
        <v>1101</v>
      </c>
      <c r="B10" s="37" t="s">
        <v>2</v>
      </c>
      <c r="C10" s="37" t="str">
        <f>'Translate&amp;Prices&amp;Logo'!B555</f>
        <v>Vložený</v>
      </c>
      <c r="D10" s="32" t="str">
        <f t="shared" si="0"/>
        <v>úzký_BLUM_Vložený</v>
      </c>
      <c r="E10" s="37" t="str">
        <f>'Translate&amp;Prices&amp;Logo'!$B$583</f>
        <v>s pružinou bez tlmenia</v>
      </c>
      <c r="F10" s="34" t="str">
        <f>'Translate&amp;Prices&amp;Logo'!$B$585</f>
        <v>strieborná</v>
      </c>
      <c r="G10" s="34" t="str">
        <f t="shared" si="1"/>
        <v>12108 - Vložený s pružinou bez tlmenia - strieborná</v>
      </c>
      <c r="H10" s="35">
        <v>12108</v>
      </c>
      <c r="I10" s="35" t="s">
        <v>1103</v>
      </c>
      <c r="J10" s="35" t="s">
        <v>1103</v>
      </c>
      <c r="K10" s="35">
        <v>12306</v>
      </c>
      <c r="L10" s="35" t="str">
        <f t="shared" si="2"/>
        <v>krížová skrutka - 12306</v>
      </c>
      <c r="M10" s="35" t="s">
        <v>2122</v>
      </c>
      <c r="N10" s="35" t="str">
        <f t="shared" si="3"/>
        <v>na vrut (s excentrom) - N/A</v>
      </c>
      <c r="O10" s="35">
        <v>12318</v>
      </c>
      <c r="P10" s="35" t="str">
        <f t="shared" si="4"/>
        <v>euroskrut - 12318</v>
      </c>
      <c r="Q10" s="35">
        <v>12302</v>
      </c>
      <c r="R10" s="35" t="str">
        <f t="shared" si="5"/>
        <v>křížová expando - 12302</v>
      </c>
      <c r="S10" s="35">
        <v>203387</v>
      </c>
      <c r="T10" s="35" t="str">
        <f t="shared" si="6"/>
        <v>priama Skrut - 203387</v>
      </c>
      <c r="U10" s="35">
        <v>346624</v>
      </c>
      <c r="V10" s="35" t="str">
        <f t="shared" si="7"/>
        <v>přímá euro - 346624</v>
      </c>
      <c r="W10" s="35">
        <v>211476</v>
      </c>
      <c r="X10" s="35" t="str">
        <f t="shared" si="8"/>
        <v>přímá hmoždinka - 211476</v>
      </c>
      <c r="Y10" s="34"/>
      <c r="Z10" s="34"/>
    </row>
    <row r="11" spans="1:31" ht="15">
      <c r="A11" s="34" t="s">
        <v>1101</v>
      </c>
      <c r="B11" s="34" t="s">
        <v>567</v>
      </c>
      <c r="C11" s="34" t="str">
        <f>'Translate&amp;Prices&amp;Logo'!B553</f>
        <v>Naložený</v>
      </c>
      <c r="D11" s="32" t="str">
        <f t="shared" si="0"/>
        <v>úzký_HETTICH_Naložený</v>
      </c>
      <c r="E11" s="34" t="str">
        <f>'Translate&amp;Prices&amp;Logo'!$B$582</f>
        <v>s pružinou a tlmením</v>
      </c>
      <c r="F11" s="34" t="str">
        <f>'Translate&amp;Prices&amp;Logo'!$B$585</f>
        <v>strieborná</v>
      </c>
      <c r="G11" s="34" t="str">
        <f t="shared" si="1"/>
        <v>300279 - Naložený s pružinou a tlmením - strieborná</v>
      </c>
      <c r="H11" s="35">
        <v>300279</v>
      </c>
      <c r="I11" s="35" t="s">
        <v>1103</v>
      </c>
      <c r="J11" s="35" t="s">
        <v>1103</v>
      </c>
      <c r="K11" s="35">
        <v>106403</v>
      </c>
      <c r="L11" s="35" t="str">
        <f t="shared" si="2"/>
        <v>krížová skrutka - 106403</v>
      </c>
      <c r="M11" s="35" t="s">
        <v>2122</v>
      </c>
      <c r="N11" s="35" t="str">
        <f t="shared" si="3"/>
        <v>na vrut (s excentrom) - N/A</v>
      </c>
      <c r="O11" s="35">
        <v>119240</v>
      </c>
      <c r="P11" s="35" t="str">
        <f t="shared" si="4"/>
        <v>euroskrut - 119240</v>
      </c>
      <c r="Q11" s="35">
        <v>136276</v>
      </c>
      <c r="R11" s="35" t="str">
        <f t="shared" si="5"/>
        <v>křížová expando - 136276</v>
      </c>
      <c r="S11" s="35">
        <v>300319</v>
      </c>
      <c r="T11" s="35" t="str">
        <f t="shared" si="6"/>
        <v>priama Skrut - 300319</v>
      </c>
      <c r="U11" s="35" t="s">
        <v>2122</v>
      </c>
      <c r="V11" s="35" t="str">
        <f t="shared" si="7"/>
        <v>přímá euro - N/A</v>
      </c>
      <c r="W11" s="35" t="s">
        <v>2122</v>
      </c>
      <c r="X11" s="35" t="str">
        <f t="shared" si="8"/>
        <v>přímá hmoždinka - N/A</v>
      </c>
      <c r="Y11" s="34"/>
      <c r="Z11" s="34"/>
    </row>
    <row r="12" spans="1:31" ht="15">
      <c r="A12" s="34" t="s">
        <v>1101</v>
      </c>
      <c r="B12" s="34" t="s">
        <v>567</v>
      </c>
      <c r="C12" s="34" t="str">
        <f>'Translate&amp;Prices&amp;Logo'!B553</f>
        <v>Naložený</v>
      </c>
      <c r="D12" s="32" t="str">
        <f t="shared" si="0"/>
        <v>úzký_HETTICH_Naložený</v>
      </c>
      <c r="E12" s="34" t="str">
        <f>'Translate&amp;Prices&amp;Logo'!$B$582</f>
        <v>s pružinou a tlmením</v>
      </c>
      <c r="F12" s="34" t="str">
        <f>'Translate&amp;Prices&amp;Logo'!$B$586</f>
        <v>čierna</v>
      </c>
      <c r="G12" s="34" t="str">
        <f t="shared" si="1"/>
        <v>344697 - Naložený s pružinou a tlmením - čierna</v>
      </c>
      <c r="H12" s="35">
        <v>344697</v>
      </c>
      <c r="I12" s="35" t="s">
        <v>1103</v>
      </c>
      <c r="J12" s="35" t="s">
        <v>1103</v>
      </c>
      <c r="K12" s="35" t="s">
        <v>2122</v>
      </c>
      <c r="L12" s="35" t="str">
        <f t="shared" si="2"/>
        <v>krížová skrutka - N/A</v>
      </c>
      <c r="M12" s="35" t="s">
        <v>2122</v>
      </c>
      <c r="N12" s="35" t="str">
        <f t="shared" si="3"/>
        <v>na vrut (s excentrom) - N/A</v>
      </c>
      <c r="O12" s="35">
        <v>344723</v>
      </c>
      <c r="P12" s="35" t="str">
        <f t="shared" si="4"/>
        <v>euroskrut - 344723</v>
      </c>
      <c r="Q12" s="35">
        <v>344727</v>
      </c>
      <c r="R12" s="35" t="str">
        <f t="shared" si="5"/>
        <v>křížová expando - 344727</v>
      </c>
      <c r="S12" s="35">
        <v>397949</v>
      </c>
      <c r="T12" s="35" t="str">
        <f t="shared" si="6"/>
        <v>priama Skrut - 397949</v>
      </c>
      <c r="U12" s="35" t="s">
        <v>2122</v>
      </c>
      <c r="V12" s="35" t="str">
        <f t="shared" si="7"/>
        <v>přímá euro - N/A</v>
      </c>
      <c r="W12" s="35" t="s">
        <v>2122</v>
      </c>
      <c r="X12" s="35" t="str">
        <f t="shared" si="8"/>
        <v>přímá hmoždinka - N/A</v>
      </c>
      <c r="Y12" s="34"/>
      <c r="Z12" s="34"/>
    </row>
    <row r="13" spans="1:31" ht="15">
      <c r="A13" s="34" t="s">
        <v>1101</v>
      </c>
      <c r="B13" s="34" t="s">
        <v>567</v>
      </c>
      <c r="C13" s="34" t="str">
        <f>'Translate&amp;Prices&amp;Logo'!B553</f>
        <v>Naložený</v>
      </c>
      <c r="D13" s="32" t="str">
        <f t="shared" si="0"/>
        <v>úzký_HETTICH_Naložený</v>
      </c>
      <c r="E13" s="34" t="str">
        <f>'Translate&amp;Prices&amp;Logo'!$B$583</f>
        <v>s pružinou bez tlmenia</v>
      </c>
      <c r="F13" s="34" t="str">
        <f>'Translate&amp;Prices&amp;Logo'!$B$585</f>
        <v>strieborná</v>
      </c>
      <c r="G13" s="34" t="str">
        <f t="shared" si="1"/>
        <v>300282 - Naložený s pružinou bez tlmenia - strieborná</v>
      </c>
      <c r="H13" s="35">
        <v>300282</v>
      </c>
      <c r="I13" s="35" t="s">
        <v>1103</v>
      </c>
      <c r="J13" s="35" t="s">
        <v>1103</v>
      </c>
      <c r="K13" s="35">
        <v>106403</v>
      </c>
      <c r="L13" s="35" t="str">
        <f t="shared" si="2"/>
        <v>krížová skrutka - 106403</v>
      </c>
      <c r="M13" s="35" t="s">
        <v>2122</v>
      </c>
      <c r="N13" s="35" t="str">
        <f t="shared" si="3"/>
        <v>na vrut (s excentrom) - N/A</v>
      </c>
      <c r="O13" s="35">
        <v>119240</v>
      </c>
      <c r="P13" s="35" t="str">
        <f t="shared" si="4"/>
        <v>euroskrut - 119240</v>
      </c>
      <c r="Q13" s="35">
        <v>136276</v>
      </c>
      <c r="R13" s="35" t="str">
        <f t="shared" si="5"/>
        <v>křížová expando - 136276</v>
      </c>
      <c r="S13" s="35">
        <v>300319</v>
      </c>
      <c r="T13" s="35" t="str">
        <f t="shared" si="6"/>
        <v>priama Skrut - 300319</v>
      </c>
      <c r="U13" s="35" t="s">
        <v>2122</v>
      </c>
      <c r="V13" s="35" t="str">
        <f t="shared" si="7"/>
        <v>přímá euro - N/A</v>
      </c>
      <c r="W13" s="35" t="s">
        <v>2122</v>
      </c>
      <c r="X13" s="35" t="str">
        <f t="shared" si="8"/>
        <v>přímá hmoždinka - N/A</v>
      </c>
      <c r="Y13" s="34"/>
      <c r="Z13" s="34"/>
    </row>
    <row r="14" spans="1:31" ht="15">
      <c r="A14" s="34" t="s">
        <v>1101</v>
      </c>
      <c r="B14" s="34" t="s">
        <v>567</v>
      </c>
      <c r="C14" s="34" t="str">
        <f>'Translate&amp;Prices&amp;Logo'!B553</f>
        <v>Naložený</v>
      </c>
      <c r="D14" s="32" t="str">
        <f t="shared" si="0"/>
        <v>úzký_HETTICH_Naložený</v>
      </c>
      <c r="E14" s="34" t="str">
        <f>'Translate&amp;Prices&amp;Logo'!$B$584</f>
        <v>tip-on bez pružiny / tlmenia</v>
      </c>
      <c r="F14" s="34" t="str">
        <f>'Translate&amp;Prices&amp;Logo'!$B$585</f>
        <v>strieborná</v>
      </c>
      <c r="G14" s="34" t="str">
        <f t="shared" si="1"/>
        <v>300285 - Naložený tip-on bez pružiny / tlmenia - strieborná</v>
      </c>
      <c r="H14" s="35">
        <v>300285</v>
      </c>
      <c r="I14" s="35" t="s">
        <v>1103</v>
      </c>
      <c r="J14" s="35" t="s">
        <v>1103</v>
      </c>
      <c r="K14" s="35">
        <v>106403</v>
      </c>
      <c r="L14" s="35" t="str">
        <f t="shared" si="2"/>
        <v>krížová skrutka - 106403</v>
      </c>
      <c r="M14" s="35" t="s">
        <v>2122</v>
      </c>
      <c r="N14" s="35" t="str">
        <f t="shared" si="3"/>
        <v>na vrut (s excentrom) - N/A</v>
      </c>
      <c r="O14" s="35">
        <v>119240</v>
      </c>
      <c r="P14" s="35" t="str">
        <f t="shared" si="4"/>
        <v>euroskrut - 119240</v>
      </c>
      <c r="Q14" s="35">
        <v>136276</v>
      </c>
      <c r="R14" s="35" t="str">
        <f t="shared" si="5"/>
        <v>křížová expando - 136276</v>
      </c>
      <c r="S14" s="35">
        <v>300319</v>
      </c>
      <c r="T14" s="35" t="str">
        <f t="shared" si="6"/>
        <v>priama Skrut - 300319</v>
      </c>
      <c r="U14" s="35" t="s">
        <v>2122</v>
      </c>
      <c r="V14" s="35" t="str">
        <f t="shared" si="7"/>
        <v>přímá euro - N/A</v>
      </c>
      <c r="W14" s="35" t="s">
        <v>2122</v>
      </c>
      <c r="X14" s="35" t="str">
        <f t="shared" si="8"/>
        <v>přímá hmoždinka - N/A</v>
      </c>
      <c r="Y14" s="34"/>
      <c r="Z14" s="34"/>
    </row>
    <row r="15" spans="1:31" ht="15">
      <c r="A15" s="37" t="s">
        <v>1101</v>
      </c>
      <c r="B15" s="37" t="s">
        <v>567</v>
      </c>
      <c r="C15" s="37" t="str">
        <f>'Translate&amp;Prices&amp;Logo'!B554</f>
        <v>Polonaložený</v>
      </c>
      <c r="D15" s="32" t="str">
        <f t="shared" si="0"/>
        <v>úzký_HETTICH_Polonaložený</v>
      </c>
      <c r="E15" s="37" t="str">
        <f>'Translate&amp;Prices&amp;Logo'!$B$582</f>
        <v>s pružinou a tlmením</v>
      </c>
      <c r="F15" s="34" t="str">
        <f>'Translate&amp;Prices&amp;Logo'!$B$585</f>
        <v>strieborná</v>
      </c>
      <c r="G15" s="34" t="str">
        <f t="shared" si="1"/>
        <v>300280 - Polonaložený s pružinou a tlmením - strieborná</v>
      </c>
      <c r="H15" s="35">
        <v>300280</v>
      </c>
      <c r="I15" s="35" t="s">
        <v>1103</v>
      </c>
      <c r="J15" s="35" t="s">
        <v>1103</v>
      </c>
      <c r="K15" s="35">
        <v>106403</v>
      </c>
      <c r="L15" s="35" t="str">
        <f t="shared" si="2"/>
        <v>krížová skrutka - 106403</v>
      </c>
      <c r="M15" s="35" t="s">
        <v>2122</v>
      </c>
      <c r="N15" s="35" t="str">
        <f t="shared" si="3"/>
        <v>na vrut (s excentrom) - N/A</v>
      </c>
      <c r="O15" s="35">
        <v>119240</v>
      </c>
      <c r="P15" s="35" t="str">
        <f t="shared" si="4"/>
        <v>euroskrut - 119240</v>
      </c>
      <c r="Q15" s="35">
        <v>136276</v>
      </c>
      <c r="R15" s="35" t="str">
        <f t="shared" si="5"/>
        <v>křížová expando - 136276</v>
      </c>
      <c r="S15" s="35">
        <v>300319</v>
      </c>
      <c r="T15" s="35" t="str">
        <f t="shared" si="6"/>
        <v>priama Skrut - 300319</v>
      </c>
      <c r="U15" s="35" t="s">
        <v>2122</v>
      </c>
      <c r="V15" s="35" t="str">
        <f t="shared" si="7"/>
        <v>přímá euro - N/A</v>
      </c>
      <c r="W15" s="35" t="s">
        <v>2122</v>
      </c>
      <c r="X15" s="35" t="str">
        <f t="shared" si="8"/>
        <v>přímá hmoždinka - N/A</v>
      </c>
      <c r="Y15" s="34"/>
      <c r="Z15" s="34"/>
    </row>
    <row r="16" spans="1:31" ht="15">
      <c r="A16" s="37" t="s">
        <v>1101</v>
      </c>
      <c r="B16" s="37" t="s">
        <v>567</v>
      </c>
      <c r="C16" s="37" t="str">
        <f>'Translate&amp;Prices&amp;Logo'!B554</f>
        <v>Polonaložený</v>
      </c>
      <c r="D16" s="32" t="str">
        <f t="shared" si="0"/>
        <v>úzký_HETTICH_Polonaložený</v>
      </c>
      <c r="E16" s="37" t="str">
        <f>'Translate&amp;Prices&amp;Logo'!$B$583</f>
        <v>s pružinou bez tlmenia</v>
      </c>
      <c r="F16" s="34" t="str">
        <f>'Translate&amp;Prices&amp;Logo'!$B$585</f>
        <v>strieborná</v>
      </c>
      <c r="G16" s="34" t="str">
        <f t="shared" si="1"/>
        <v>300283 - Polonaložený s pružinou bez tlmenia - strieborná</v>
      </c>
      <c r="H16" s="35">
        <v>300283</v>
      </c>
      <c r="I16" s="35" t="s">
        <v>1103</v>
      </c>
      <c r="J16" s="35" t="s">
        <v>1103</v>
      </c>
      <c r="K16" s="35">
        <v>106403</v>
      </c>
      <c r="L16" s="35" t="str">
        <f t="shared" si="2"/>
        <v>krížová skrutka - 106403</v>
      </c>
      <c r="M16" s="35" t="s">
        <v>2122</v>
      </c>
      <c r="N16" s="35" t="str">
        <f t="shared" si="3"/>
        <v>na vrut (s excentrom) - N/A</v>
      </c>
      <c r="O16" s="35">
        <v>119240</v>
      </c>
      <c r="P16" s="35" t="str">
        <f t="shared" si="4"/>
        <v>euroskrut - 119240</v>
      </c>
      <c r="Q16" s="35">
        <v>136276</v>
      </c>
      <c r="R16" s="35" t="str">
        <f t="shared" si="5"/>
        <v>křížová expando - 136276</v>
      </c>
      <c r="S16" s="35">
        <v>300319</v>
      </c>
      <c r="T16" s="35" t="str">
        <f t="shared" si="6"/>
        <v>priama Skrut - 300319</v>
      </c>
      <c r="U16" s="35" t="s">
        <v>2122</v>
      </c>
      <c r="V16" s="35" t="str">
        <f t="shared" si="7"/>
        <v>přímá euro - N/A</v>
      </c>
      <c r="W16" s="35" t="s">
        <v>2122</v>
      </c>
      <c r="X16" s="35" t="str">
        <f t="shared" si="8"/>
        <v>přímá hmoždinka - N/A</v>
      </c>
      <c r="Y16" s="34"/>
      <c r="Z16" s="34"/>
    </row>
    <row r="17" spans="1:26" ht="15">
      <c r="A17" s="37" t="s">
        <v>1101</v>
      </c>
      <c r="B17" s="37" t="s">
        <v>567</v>
      </c>
      <c r="C17" s="37" t="str">
        <f>'Translate&amp;Prices&amp;Logo'!B554</f>
        <v>Polonaložený</v>
      </c>
      <c r="D17" s="32" t="str">
        <f t="shared" si="0"/>
        <v>úzký_HETTICH_Polonaložený</v>
      </c>
      <c r="E17" s="37" t="str">
        <f>'Translate&amp;Prices&amp;Logo'!$B$584</f>
        <v>tip-on bez pružiny / tlmenia</v>
      </c>
      <c r="F17" s="34" t="str">
        <f>'Translate&amp;Prices&amp;Logo'!$B$585</f>
        <v>strieborná</v>
      </c>
      <c r="G17" s="34" t="str">
        <f t="shared" si="1"/>
        <v>300286 - Polonaložený tip-on bez pružiny / tlmenia - strieborná</v>
      </c>
      <c r="H17" s="35">
        <v>300286</v>
      </c>
      <c r="I17" s="35" t="s">
        <v>1103</v>
      </c>
      <c r="J17" s="35" t="s">
        <v>1103</v>
      </c>
      <c r="K17" s="35">
        <v>106403</v>
      </c>
      <c r="L17" s="35" t="str">
        <f t="shared" si="2"/>
        <v>krížová skrutka - 106403</v>
      </c>
      <c r="M17" s="35" t="s">
        <v>2122</v>
      </c>
      <c r="N17" s="35" t="str">
        <f t="shared" si="3"/>
        <v>na vrut (s excentrom) - N/A</v>
      </c>
      <c r="O17" s="35">
        <v>119240</v>
      </c>
      <c r="P17" s="35" t="str">
        <f t="shared" si="4"/>
        <v>euroskrut - 119240</v>
      </c>
      <c r="Q17" s="35">
        <v>136276</v>
      </c>
      <c r="R17" s="35" t="str">
        <f t="shared" si="5"/>
        <v>křížová expando - 136276</v>
      </c>
      <c r="S17" s="35">
        <v>300319</v>
      </c>
      <c r="T17" s="35" t="str">
        <f t="shared" si="6"/>
        <v>priama Skrut - 300319</v>
      </c>
      <c r="U17" s="35" t="s">
        <v>2122</v>
      </c>
      <c r="V17" s="35" t="str">
        <f t="shared" si="7"/>
        <v>přímá euro - N/A</v>
      </c>
      <c r="W17" s="35" t="s">
        <v>2122</v>
      </c>
      <c r="X17" s="35" t="str">
        <f t="shared" si="8"/>
        <v>přímá hmoždinka - N/A</v>
      </c>
      <c r="Y17" s="34"/>
      <c r="Z17" s="34"/>
    </row>
    <row r="18" spans="1:26" ht="15">
      <c r="A18" s="34" t="s">
        <v>1101</v>
      </c>
      <c r="B18" s="34" t="s">
        <v>567</v>
      </c>
      <c r="C18" s="34" t="str">
        <f>'Translate&amp;Prices&amp;Logo'!B555</f>
        <v>Vložený</v>
      </c>
      <c r="D18" s="32" t="str">
        <f t="shared" si="0"/>
        <v>úzký_HETTICH_Vložený</v>
      </c>
      <c r="E18" s="34" t="str">
        <f>'Translate&amp;Prices&amp;Logo'!$B$582</f>
        <v>s pružinou a tlmením</v>
      </c>
      <c r="F18" s="34" t="str">
        <f>'Translate&amp;Prices&amp;Logo'!$B$585</f>
        <v>strieborná</v>
      </c>
      <c r="G18" s="34" t="str">
        <f t="shared" si="1"/>
        <v>300281 - Vložený s pružinou a tlmením - strieborná</v>
      </c>
      <c r="H18" s="35">
        <v>300281</v>
      </c>
      <c r="I18" s="35" t="s">
        <v>1103</v>
      </c>
      <c r="J18" s="35" t="s">
        <v>1103</v>
      </c>
      <c r="K18" s="35">
        <v>106403</v>
      </c>
      <c r="L18" s="35" t="str">
        <f t="shared" si="2"/>
        <v>krížová skrutka - 106403</v>
      </c>
      <c r="M18" s="35" t="s">
        <v>2122</v>
      </c>
      <c r="N18" s="35" t="str">
        <f t="shared" si="3"/>
        <v>na vrut (s excentrom) - N/A</v>
      </c>
      <c r="O18" s="35">
        <v>119240</v>
      </c>
      <c r="P18" s="35" t="str">
        <f t="shared" si="4"/>
        <v>euroskrut - 119240</v>
      </c>
      <c r="Q18" s="35">
        <v>136276</v>
      </c>
      <c r="R18" s="35" t="str">
        <f t="shared" si="5"/>
        <v>křížová expando - 136276</v>
      </c>
      <c r="S18" s="35">
        <v>300319</v>
      </c>
      <c r="T18" s="35" t="str">
        <f t="shared" si="6"/>
        <v>priama Skrut - 300319</v>
      </c>
      <c r="U18" s="35" t="s">
        <v>2122</v>
      </c>
      <c r="V18" s="35" t="str">
        <f t="shared" si="7"/>
        <v>přímá euro - N/A</v>
      </c>
      <c r="W18" s="35" t="s">
        <v>2122</v>
      </c>
      <c r="X18" s="35" t="str">
        <f t="shared" si="8"/>
        <v>přímá hmoždinka - N/A</v>
      </c>
      <c r="Y18" s="34"/>
      <c r="Z18" s="34"/>
    </row>
    <row r="19" spans="1:26" ht="15">
      <c r="A19" s="34" t="s">
        <v>1101</v>
      </c>
      <c r="B19" s="34" t="s">
        <v>567</v>
      </c>
      <c r="C19" s="34" t="str">
        <f>'Translate&amp;Prices&amp;Logo'!B555</f>
        <v>Vložený</v>
      </c>
      <c r="D19" s="32" t="str">
        <f t="shared" si="0"/>
        <v>úzký_HETTICH_Vložený</v>
      </c>
      <c r="E19" s="34" t="str">
        <f>'Translate&amp;Prices&amp;Logo'!$B$583</f>
        <v>s pružinou bez tlmenia</v>
      </c>
      <c r="F19" s="34" t="str">
        <f>'Translate&amp;Prices&amp;Logo'!$B$585</f>
        <v>strieborná</v>
      </c>
      <c r="G19" s="34" t="str">
        <f t="shared" si="1"/>
        <v>300284 - Vložený s pružinou bez tlmenia - strieborná</v>
      </c>
      <c r="H19" s="35">
        <v>300284</v>
      </c>
      <c r="I19" s="35" t="s">
        <v>1103</v>
      </c>
      <c r="J19" s="35" t="s">
        <v>1103</v>
      </c>
      <c r="K19" s="35">
        <v>106403</v>
      </c>
      <c r="L19" s="35" t="str">
        <f t="shared" si="2"/>
        <v>krížová skrutka - 106403</v>
      </c>
      <c r="M19" s="35" t="s">
        <v>2122</v>
      </c>
      <c r="N19" s="35" t="str">
        <f t="shared" si="3"/>
        <v>na vrut (s excentrom) - N/A</v>
      </c>
      <c r="O19" s="35">
        <v>119240</v>
      </c>
      <c r="P19" s="35" t="str">
        <f t="shared" si="4"/>
        <v>euroskrut - 119240</v>
      </c>
      <c r="Q19" s="35">
        <v>136276</v>
      </c>
      <c r="R19" s="35" t="str">
        <f t="shared" si="5"/>
        <v>křížová expando - 136276</v>
      </c>
      <c r="S19" s="35">
        <v>300319</v>
      </c>
      <c r="T19" s="35" t="str">
        <f t="shared" si="6"/>
        <v>priama Skrut - 300319</v>
      </c>
      <c r="U19" s="35" t="s">
        <v>2122</v>
      </c>
      <c r="V19" s="35" t="str">
        <f t="shared" si="7"/>
        <v>přímá euro - N/A</v>
      </c>
      <c r="W19" s="35" t="s">
        <v>2122</v>
      </c>
      <c r="X19" s="35" t="str">
        <f t="shared" si="8"/>
        <v>přímá hmoždinka - N/A</v>
      </c>
      <c r="Y19" s="34"/>
      <c r="Z19" s="34"/>
    </row>
    <row r="20" spans="1:26" ht="15">
      <c r="A20" s="34" t="s">
        <v>1101</v>
      </c>
      <c r="B20" s="34" t="s">
        <v>567</v>
      </c>
      <c r="C20" s="34" t="str">
        <f>'Translate&amp;Prices&amp;Logo'!B555</f>
        <v>Vložený</v>
      </c>
      <c r="D20" s="32" t="str">
        <f t="shared" si="0"/>
        <v>úzký_HETTICH_Vložený</v>
      </c>
      <c r="E20" s="34" t="str">
        <f>'Translate&amp;Prices&amp;Logo'!$B$584</f>
        <v>tip-on bez pružiny / tlmenia</v>
      </c>
      <c r="F20" s="34" t="str">
        <f>'Translate&amp;Prices&amp;Logo'!$B$585</f>
        <v>strieborná</v>
      </c>
      <c r="G20" s="34" t="str">
        <f t="shared" si="1"/>
        <v>300287 - Vložený tip-on bez pružiny / tlmenia - strieborná</v>
      </c>
      <c r="H20" s="35">
        <v>300287</v>
      </c>
      <c r="I20" s="35" t="s">
        <v>1103</v>
      </c>
      <c r="J20" s="35" t="s">
        <v>1103</v>
      </c>
      <c r="K20" s="35">
        <v>106403</v>
      </c>
      <c r="L20" s="35" t="str">
        <f t="shared" si="2"/>
        <v>krížová skrutka - 106403</v>
      </c>
      <c r="M20" s="35" t="s">
        <v>2122</v>
      </c>
      <c r="N20" s="35" t="str">
        <f t="shared" si="3"/>
        <v>na vrut (s excentrom) - N/A</v>
      </c>
      <c r="O20" s="35">
        <v>119240</v>
      </c>
      <c r="P20" s="35" t="str">
        <f t="shared" si="4"/>
        <v>euroskrut - 119240</v>
      </c>
      <c r="Q20" s="35">
        <v>136276</v>
      </c>
      <c r="R20" s="35" t="str">
        <f t="shared" si="5"/>
        <v>křížová expando - 136276</v>
      </c>
      <c r="S20" s="35">
        <v>300319</v>
      </c>
      <c r="T20" s="35" t="str">
        <f t="shared" si="6"/>
        <v>priama Skrut - 300319</v>
      </c>
      <c r="U20" s="35" t="s">
        <v>2122</v>
      </c>
      <c r="V20" s="35" t="str">
        <f t="shared" si="7"/>
        <v>přímá euro - N/A</v>
      </c>
      <c r="W20" s="35" t="s">
        <v>2122</v>
      </c>
      <c r="X20" s="35" t="str">
        <f t="shared" si="8"/>
        <v>přímá hmoždinka - N/A</v>
      </c>
      <c r="Y20" s="34"/>
      <c r="Z20" s="34"/>
    </row>
    <row r="21" spans="1:26" ht="15">
      <c r="A21" s="37" t="s">
        <v>1101</v>
      </c>
      <c r="B21" s="37" t="s">
        <v>57</v>
      </c>
      <c r="C21" s="37" t="str">
        <f>'Translate&amp;Prices&amp;Logo'!B553</f>
        <v>Naložený</v>
      </c>
      <c r="D21" s="32" t="str">
        <f t="shared" si="0"/>
        <v>úzký_STRONG_Naložený</v>
      </c>
      <c r="E21" s="37" t="str">
        <f>'Translate&amp;Prices&amp;Logo'!$B$582</f>
        <v>s pružinou a tlmením</v>
      </c>
      <c r="F21" s="34" t="str">
        <f>'Translate&amp;Prices&amp;Logo'!$B$585</f>
        <v>strieborná</v>
      </c>
      <c r="G21" s="34" t="str">
        <f>CONCATENATE(I21," ","-"," ",C21," ",E21," - ",F21)</f>
        <v>92584T - Naložený s pružinou a tlmením - strieborná</v>
      </c>
      <c r="H21" s="35" t="s">
        <v>1103</v>
      </c>
      <c r="I21" s="35" t="s">
        <v>429</v>
      </c>
      <c r="J21" s="35" t="s">
        <v>1103</v>
      </c>
      <c r="K21" s="35" t="s">
        <v>58</v>
      </c>
      <c r="L21" s="35" t="str">
        <f t="shared" si="2"/>
        <v>krížová skrutka - 92590T</v>
      </c>
      <c r="M21" s="35" t="s">
        <v>62</v>
      </c>
      <c r="N21" s="35" t="str">
        <f t="shared" si="3"/>
        <v>na vrut (s excentrom) - 92594T</v>
      </c>
      <c r="O21" s="35" t="s">
        <v>63</v>
      </c>
      <c r="P21" s="35" t="str">
        <f t="shared" si="4"/>
        <v>euroskrut - 92591T</v>
      </c>
      <c r="Q21" s="35" t="s">
        <v>2122</v>
      </c>
      <c r="R21" s="35" t="str">
        <f t="shared" si="5"/>
        <v>křížová expando - N/A</v>
      </c>
      <c r="S21" s="35" t="s">
        <v>2122</v>
      </c>
      <c r="T21" s="35" t="str">
        <f t="shared" si="6"/>
        <v>priama Skrut - N/A</v>
      </c>
      <c r="U21" s="35" t="s">
        <v>2122</v>
      </c>
      <c r="V21" s="35" t="str">
        <f t="shared" si="7"/>
        <v>přímá euro - N/A</v>
      </c>
      <c r="W21" s="35" t="s">
        <v>2122</v>
      </c>
      <c r="X21" s="35" t="str">
        <f t="shared" si="8"/>
        <v>přímá hmoždinka - N/A</v>
      </c>
      <c r="Y21" s="34"/>
      <c r="Z21" s="34"/>
    </row>
    <row r="22" spans="1:26" ht="15">
      <c r="A22" s="34" t="s">
        <v>1101</v>
      </c>
      <c r="B22" s="34" t="s">
        <v>2352</v>
      </c>
      <c r="C22" s="34" t="str">
        <f>'Translate&amp;Prices&amp;Logo'!B553</f>
        <v>Naložený</v>
      </c>
      <c r="D22" s="32" t="str">
        <f t="shared" si="0"/>
        <v>úzký_STRONGHINGES_Naložený</v>
      </c>
      <c r="E22" s="34" t="str">
        <f>'Translate&amp;Prices&amp;Logo'!$B$582</f>
        <v>s pružinou a tlmením</v>
      </c>
      <c r="F22" s="34" t="str">
        <f>'Translate&amp;Prices&amp;Logo'!$B$585</f>
        <v>strieborná</v>
      </c>
      <c r="G22" s="34" t="str">
        <f t="shared" ref="G22:G66" si="10">CONCATENATE(I22," ","-"," ",C22," ",E22," - ",F22)</f>
        <v>350863 - Naložený s pružinou a tlmením - strieborná</v>
      </c>
      <c r="H22" s="35" t="s">
        <v>1103</v>
      </c>
      <c r="I22" s="35">
        <v>350863</v>
      </c>
      <c r="J22" s="35" t="s">
        <v>1103</v>
      </c>
      <c r="K22" s="35">
        <v>92596</v>
      </c>
      <c r="L22" s="35" t="str">
        <f t="shared" si="2"/>
        <v>krížová skrutka - 92596</v>
      </c>
      <c r="M22" s="35">
        <v>315856</v>
      </c>
      <c r="N22" s="35" t="str">
        <f t="shared" si="3"/>
        <v>na vrut (s excentrom) - 315856</v>
      </c>
      <c r="O22" s="35">
        <v>92597</v>
      </c>
      <c r="P22" s="35" t="str">
        <f t="shared" si="4"/>
        <v>euroskrut - 92597</v>
      </c>
      <c r="Q22" s="35" t="s">
        <v>2122</v>
      </c>
      <c r="R22" s="35" t="str">
        <f t="shared" si="5"/>
        <v>křížová expando - N/A</v>
      </c>
      <c r="S22" s="35" t="s">
        <v>2122</v>
      </c>
      <c r="T22" s="35" t="str">
        <f t="shared" si="6"/>
        <v>priama Skrut - N/A</v>
      </c>
      <c r="U22" s="35" t="s">
        <v>2122</v>
      </c>
      <c r="V22" s="35" t="str">
        <f t="shared" si="7"/>
        <v>přímá euro - N/A</v>
      </c>
      <c r="W22" s="35" t="s">
        <v>2122</v>
      </c>
      <c r="X22" s="35" t="str">
        <f t="shared" si="8"/>
        <v>přímá hmoždinka - N/A</v>
      </c>
      <c r="Y22" s="34"/>
      <c r="Z22" s="34"/>
    </row>
    <row r="23" spans="1:26" ht="15">
      <c r="A23" s="34" t="s">
        <v>1101</v>
      </c>
      <c r="B23" s="34" t="s">
        <v>2352</v>
      </c>
      <c r="C23" s="34" t="str">
        <f>'Translate&amp;Prices&amp;Logo'!B553</f>
        <v>Naložený</v>
      </c>
      <c r="D23" s="32" t="str">
        <f t="shared" si="0"/>
        <v>úzký_STRONGHINGES_Naložený</v>
      </c>
      <c r="E23" s="34" t="str">
        <f>'Translate&amp;Prices&amp;Logo'!$B$584</f>
        <v>tip-on bez pružiny / tlmenia</v>
      </c>
      <c r="F23" s="34" t="str">
        <f>'Translate&amp;Prices&amp;Logo'!$B$585</f>
        <v>strieborná</v>
      </c>
      <c r="G23" s="34" t="str">
        <f t="shared" si="10"/>
        <v>350864 - Naložený tip-on bez pružiny / tlmenia - strieborná</v>
      </c>
      <c r="H23" s="35" t="s">
        <v>1103</v>
      </c>
      <c r="I23" s="35">
        <v>350864</v>
      </c>
      <c r="J23" s="35" t="s">
        <v>1103</v>
      </c>
      <c r="K23" s="35">
        <v>92596</v>
      </c>
      <c r="L23" s="35" t="str">
        <f t="shared" si="2"/>
        <v>krížová skrutka - 92596</v>
      </c>
      <c r="M23" s="35">
        <v>315856</v>
      </c>
      <c r="N23" s="35" t="str">
        <f t="shared" si="3"/>
        <v>na vrut (s excentrom) - 315856</v>
      </c>
      <c r="O23" s="35">
        <v>92597</v>
      </c>
      <c r="P23" s="35" t="str">
        <f t="shared" si="4"/>
        <v>euroskrut - 92597</v>
      </c>
      <c r="Q23" s="35" t="s">
        <v>2122</v>
      </c>
      <c r="R23" s="35" t="str">
        <f t="shared" si="5"/>
        <v>křížová expando - N/A</v>
      </c>
      <c r="S23" s="35" t="s">
        <v>2122</v>
      </c>
      <c r="T23" s="35" t="str">
        <f t="shared" si="6"/>
        <v>priama Skrut - N/A</v>
      </c>
      <c r="U23" s="35" t="s">
        <v>2122</v>
      </c>
      <c r="V23" s="35" t="str">
        <f t="shared" si="7"/>
        <v>přímá euro - N/A</v>
      </c>
      <c r="W23" s="35" t="s">
        <v>2122</v>
      </c>
      <c r="X23" s="35" t="str">
        <f t="shared" si="8"/>
        <v>přímá hmoždinka - N/A</v>
      </c>
      <c r="Y23" s="34"/>
      <c r="Z23" s="34"/>
    </row>
    <row r="24" spans="1:26" ht="15">
      <c r="A24" s="37" t="s">
        <v>1105</v>
      </c>
      <c r="B24" s="37" t="s">
        <v>2</v>
      </c>
      <c r="C24" s="37" t="str">
        <f>'Translate&amp;Prices&amp;Logo'!B553</f>
        <v>Naložený</v>
      </c>
      <c r="D24" s="32" t="str">
        <f t="shared" si="0"/>
        <v>široký_BLUM_Naložený</v>
      </c>
      <c r="E24" s="37" t="str">
        <f>'Translate&amp;Prices&amp;Logo'!$B$582</f>
        <v>s pružinou a tlmením</v>
      </c>
      <c r="F24" s="34" t="str">
        <f>'Translate&amp;Prices&amp;Logo'!$B$585</f>
        <v>strieborná</v>
      </c>
      <c r="G24" s="34" t="str">
        <f t="shared" si="10"/>
        <v>12047 - Naložený s pružinou a tlmením - strieborná</v>
      </c>
      <c r="H24" s="35" t="s">
        <v>1103</v>
      </c>
      <c r="I24" s="35">
        <v>12047</v>
      </c>
      <c r="J24" s="35" t="s">
        <v>1103</v>
      </c>
      <c r="K24" s="35">
        <v>12306</v>
      </c>
      <c r="L24" s="35" t="str">
        <f t="shared" si="2"/>
        <v>krížová skrutka - 12306</v>
      </c>
      <c r="M24" s="35" t="s">
        <v>2122</v>
      </c>
      <c r="N24" s="35" t="str">
        <f t="shared" si="3"/>
        <v>na vrut (s excentrom) - N/A</v>
      </c>
      <c r="O24" s="35">
        <v>12318</v>
      </c>
      <c r="P24" s="35" t="str">
        <f t="shared" si="4"/>
        <v>euroskrut - 12318</v>
      </c>
      <c r="Q24" s="35">
        <v>12302</v>
      </c>
      <c r="R24" s="35" t="str">
        <f t="shared" si="5"/>
        <v>křížová expando - 12302</v>
      </c>
      <c r="S24" s="35">
        <v>203387</v>
      </c>
      <c r="T24" s="35" t="str">
        <f t="shared" si="6"/>
        <v>priama Skrut - 203387</v>
      </c>
      <c r="U24" s="35">
        <v>346624</v>
      </c>
      <c r="V24" s="35" t="str">
        <f t="shared" si="7"/>
        <v>přímá euro - 346624</v>
      </c>
      <c r="W24" s="35">
        <v>211476</v>
      </c>
      <c r="X24" s="35" t="str">
        <f t="shared" si="8"/>
        <v>přímá hmoždinka - 211476</v>
      </c>
      <c r="Y24" s="34"/>
      <c r="Z24" s="34"/>
    </row>
    <row r="25" spans="1:26" ht="16.350000000000001" customHeight="1">
      <c r="A25" s="37" t="s">
        <v>1105</v>
      </c>
      <c r="B25" s="37" t="s">
        <v>2</v>
      </c>
      <c r="C25" s="37" t="str">
        <f>'Translate&amp;Prices&amp;Logo'!B553</f>
        <v>Naložený</v>
      </c>
      <c r="D25" s="32" t="str">
        <f t="shared" si="0"/>
        <v>široký_BLUM_Naložený</v>
      </c>
      <c r="E25" s="37" t="str">
        <f>'Translate&amp;Prices&amp;Logo'!$B$582</f>
        <v>s pružinou a tlmením</v>
      </c>
      <c r="F25" s="34" t="str">
        <f>'Translate&amp;Prices&amp;Logo'!$B$586</f>
        <v>čierna</v>
      </c>
      <c r="G25" s="34" t="str">
        <f t="shared" si="10"/>
        <v>306317 - Naložený s pružinou a tlmením - čierna</v>
      </c>
      <c r="H25" s="35" t="s">
        <v>1103</v>
      </c>
      <c r="I25" s="35">
        <v>306317</v>
      </c>
      <c r="J25" s="35" t="s">
        <v>1103</v>
      </c>
      <c r="K25" s="35">
        <v>458360</v>
      </c>
      <c r="L25" s="35" t="str">
        <f t="shared" si="2"/>
        <v>krížová skrutka - 458360</v>
      </c>
      <c r="M25" s="35" t="s">
        <v>2122</v>
      </c>
      <c r="N25" s="35" t="str">
        <f t="shared" si="3"/>
        <v>na vrut (s excentrom) - N/A</v>
      </c>
      <c r="O25" s="35" t="s">
        <v>2122</v>
      </c>
      <c r="P25" s="35" t="str">
        <f t="shared" si="4"/>
        <v>euroskrut - N/A</v>
      </c>
      <c r="Q25" s="35">
        <v>347124</v>
      </c>
      <c r="R25" s="35" t="str">
        <f t="shared" si="5"/>
        <v>křížová expando - 347124</v>
      </c>
      <c r="S25" s="35">
        <v>306320</v>
      </c>
      <c r="T25" s="35" t="str">
        <f t="shared" si="6"/>
        <v>priama Skrut - 306320</v>
      </c>
      <c r="U25" s="35" t="s">
        <v>2122</v>
      </c>
      <c r="V25" s="35" t="str">
        <f t="shared" si="7"/>
        <v>přímá euro - N/A</v>
      </c>
      <c r="W25" s="35">
        <v>409651</v>
      </c>
      <c r="X25" s="35" t="str">
        <f t="shared" si="8"/>
        <v>přímá hmoždinka - 409651</v>
      </c>
      <c r="Y25" s="34"/>
      <c r="Z25" s="34"/>
    </row>
    <row r="26" spans="1:26" ht="16.350000000000001" customHeight="1">
      <c r="A26" s="37" t="s">
        <v>1105</v>
      </c>
      <c r="B26" s="37" t="s">
        <v>2</v>
      </c>
      <c r="C26" s="37" t="str">
        <f>'Translate&amp;Prices&amp;Logo'!B553</f>
        <v>Naložený</v>
      </c>
      <c r="D26" s="32" t="str">
        <f t="shared" si="0"/>
        <v>široký_BLUM_Naložený</v>
      </c>
      <c r="E26" s="37" t="str">
        <f>'Translate&amp;Prices&amp;Logo'!$B$583</f>
        <v>s pružinou bez tlmenia</v>
      </c>
      <c r="F26" s="34" t="str">
        <f>'Translate&amp;Prices&amp;Logo'!$B$585</f>
        <v>strieborná</v>
      </c>
      <c r="G26" s="34" t="str">
        <f t="shared" si="10"/>
        <v>12052 - Naložený s pružinou bez tlmenia - strieborná</v>
      </c>
      <c r="H26" s="35" t="s">
        <v>1103</v>
      </c>
      <c r="I26" s="35">
        <v>12052</v>
      </c>
      <c r="J26" s="35" t="s">
        <v>1103</v>
      </c>
      <c r="K26" s="35">
        <v>12306</v>
      </c>
      <c r="L26" s="35" t="str">
        <f t="shared" si="2"/>
        <v>krížová skrutka - 12306</v>
      </c>
      <c r="M26" s="35" t="s">
        <v>2122</v>
      </c>
      <c r="N26" s="35" t="str">
        <f t="shared" si="3"/>
        <v>na vrut (s excentrom) - N/A</v>
      </c>
      <c r="O26" s="35">
        <v>12318</v>
      </c>
      <c r="P26" s="35" t="str">
        <f t="shared" si="4"/>
        <v>euroskrut - 12318</v>
      </c>
      <c r="Q26" s="35">
        <v>12302</v>
      </c>
      <c r="R26" s="35" t="str">
        <f t="shared" si="5"/>
        <v>křížová expando - 12302</v>
      </c>
      <c r="S26" s="35">
        <v>203387</v>
      </c>
      <c r="T26" s="35" t="str">
        <f t="shared" si="6"/>
        <v>priama Skrut - 203387</v>
      </c>
      <c r="U26" s="35">
        <v>346624</v>
      </c>
      <c r="V26" s="35" t="str">
        <f t="shared" si="7"/>
        <v>přímá euro - 346624</v>
      </c>
      <c r="W26" s="35">
        <v>211476</v>
      </c>
      <c r="X26" s="35" t="str">
        <f t="shared" si="8"/>
        <v>přímá hmoždinka - 211476</v>
      </c>
      <c r="Y26" s="34"/>
      <c r="Z26" s="34"/>
    </row>
    <row r="27" spans="1:26" ht="16.350000000000001" customHeight="1">
      <c r="A27" s="37" t="s">
        <v>1105</v>
      </c>
      <c r="B27" s="37" t="s">
        <v>2</v>
      </c>
      <c r="C27" s="37" t="str">
        <f>'Translate&amp;Prices&amp;Logo'!B553</f>
        <v>Naložený</v>
      </c>
      <c r="D27" s="32" t="str">
        <f t="shared" si="0"/>
        <v>široký_BLUM_Naložený</v>
      </c>
      <c r="E27" s="37" t="str">
        <f>'Translate&amp;Prices&amp;Logo'!$B$584</f>
        <v>tip-on bez pružiny / tlmenia</v>
      </c>
      <c r="F27" s="34" t="str">
        <f>'Translate&amp;Prices&amp;Logo'!$B$585</f>
        <v>strieborná</v>
      </c>
      <c r="G27" s="34" t="str">
        <f t="shared" si="10"/>
        <v>226668 - Naložený tip-on bez pružiny / tlmenia - strieborná</v>
      </c>
      <c r="H27" s="35" t="s">
        <v>1103</v>
      </c>
      <c r="I27" s="35">
        <v>226668</v>
      </c>
      <c r="J27" s="35" t="s">
        <v>1103</v>
      </c>
      <c r="K27" s="35">
        <v>12306</v>
      </c>
      <c r="L27" s="35" t="str">
        <f t="shared" si="2"/>
        <v>krížová skrutka - 12306</v>
      </c>
      <c r="M27" s="35" t="s">
        <v>2122</v>
      </c>
      <c r="N27" s="35" t="str">
        <f t="shared" si="3"/>
        <v>na vrut (s excentrom) - N/A</v>
      </c>
      <c r="O27" s="35">
        <v>12318</v>
      </c>
      <c r="P27" s="35" t="str">
        <f t="shared" si="4"/>
        <v>euroskrut - 12318</v>
      </c>
      <c r="Q27" s="35">
        <v>12302</v>
      </c>
      <c r="R27" s="35" t="str">
        <f t="shared" si="5"/>
        <v>křížová expando - 12302</v>
      </c>
      <c r="S27" s="35">
        <v>203387</v>
      </c>
      <c r="T27" s="35" t="str">
        <f t="shared" si="6"/>
        <v>priama Skrut - 203387</v>
      </c>
      <c r="U27" s="35">
        <v>346624</v>
      </c>
      <c r="V27" s="35" t="str">
        <f t="shared" si="7"/>
        <v>přímá euro - 346624</v>
      </c>
      <c r="W27" s="35">
        <v>211476</v>
      </c>
      <c r="X27" s="35" t="str">
        <f t="shared" si="8"/>
        <v>přímá hmoždinka - 211476</v>
      </c>
      <c r="Y27" s="34"/>
      <c r="Z27" s="34"/>
    </row>
    <row r="28" spans="1:26" ht="16.350000000000001" customHeight="1">
      <c r="A28" s="37" t="s">
        <v>1105</v>
      </c>
      <c r="B28" s="37" t="s">
        <v>2</v>
      </c>
      <c r="C28" s="37" t="str">
        <f>'Translate&amp;Prices&amp;Logo'!B553</f>
        <v>Naložený</v>
      </c>
      <c r="D28" s="32" t="str">
        <f t="shared" si="0"/>
        <v>široký_BLUM_Naložený</v>
      </c>
      <c r="E28" s="37" t="str">
        <f>'Translate&amp;Prices&amp;Logo'!$B$584</f>
        <v>tip-on bez pružiny / tlmenia</v>
      </c>
      <c r="F28" s="34" t="s">
        <v>2569</v>
      </c>
      <c r="G28" s="34" t="str">
        <f>CONCATENATE(H28," ","-"," ",C28," ",E28," - ",F28)</f>
        <v>318173 - Naložený tip-on bez pružiny / tlmenia - onyx</v>
      </c>
      <c r="H28" s="35">
        <v>318173</v>
      </c>
      <c r="Q28" s="35">
        <v>347124</v>
      </c>
      <c r="R28" s="35" t="str">
        <f t="shared" si="5"/>
        <v>křížová expando - 347124</v>
      </c>
      <c r="S28" s="35">
        <v>306320</v>
      </c>
      <c r="T28" s="35" t="str">
        <f t="shared" ref="T28" si="11">CONCATENATE($S$1," - ",S28)</f>
        <v>priama Skrut - 306320</v>
      </c>
      <c r="X28" s="35"/>
      <c r="Y28" s="34"/>
      <c r="Z28" s="34"/>
    </row>
    <row r="29" spans="1:26" ht="16.350000000000001" customHeight="1">
      <c r="A29" s="34" t="s">
        <v>1105</v>
      </c>
      <c r="B29" s="34" t="s">
        <v>2</v>
      </c>
      <c r="C29" s="34" t="str">
        <f>'Translate&amp;Prices&amp;Logo'!B554</f>
        <v>Polonaložený</v>
      </c>
      <c r="D29" s="32" t="str">
        <f t="shared" si="0"/>
        <v>široký_BLUM_Polonaložený</v>
      </c>
      <c r="E29" s="34" t="str">
        <f>'Translate&amp;Prices&amp;Logo'!$B$582</f>
        <v>s pružinou a tlmením</v>
      </c>
      <c r="F29" s="34" t="str">
        <f>'Translate&amp;Prices&amp;Logo'!$B$585</f>
        <v>strieborná</v>
      </c>
      <c r="G29" s="34" t="str">
        <f t="shared" si="10"/>
        <v>12048 - Polonaložený s pružinou a tlmením - strieborná</v>
      </c>
      <c r="H29" s="35" t="s">
        <v>1103</v>
      </c>
      <c r="I29" s="35">
        <v>12048</v>
      </c>
      <c r="J29" s="35" t="s">
        <v>1103</v>
      </c>
      <c r="K29" s="35">
        <v>12306</v>
      </c>
      <c r="L29" s="35" t="str">
        <f t="shared" si="2"/>
        <v>krížová skrutka - 12306</v>
      </c>
      <c r="M29" s="35" t="s">
        <v>2122</v>
      </c>
      <c r="N29" s="35" t="str">
        <f t="shared" si="3"/>
        <v>na vrut (s excentrom) - N/A</v>
      </c>
      <c r="O29" s="35">
        <v>12318</v>
      </c>
      <c r="P29" s="35" t="str">
        <f t="shared" si="4"/>
        <v>euroskrut - 12318</v>
      </c>
      <c r="Q29" s="35">
        <v>12302</v>
      </c>
      <c r="R29" s="35" t="str">
        <f t="shared" si="5"/>
        <v>křížová expando - 12302</v>
      </c>
      <c r="S29" s="35">
        <v>203387</v>
      </c>
      <c r="T29" s="35" t="str">
        <f t="shared" si="6"/>
        <v>priama Skrut - 203387</v>
      </c>
      <c r="U29" s="35">
        <v>346624</v>
      </c>
      <c r="V29" s="35" t="str">
        <f t="shared" si="7"/>
        <v>přímá euro - 346624</v>
      </c>
      <c r="W29" s="35">
        <v>211476</v>
      </c>
      <c r="X29" s="35" t="str">
        <f t="shared" si="8"/>
        <v>přímá hmoždinka - 211476</v>
      </c>
      <c r="Y29" s="34"/>
      <c r="Z29" s="34"/>
    </row>
    <row r="30" spans="1:26" ht="16.350000000000001" customHeight="1">
      <c r="A30" s="34" t="s">
        <v>1105</v>
      </c>
      <c r="B30" s="34" t="s">
        <v>2</v>
      </c>
      <c r="C30" s="34" t="str">
        <f>'Translate&amp;Prices&amp;Logo'!B554</f>
        <v>Polonaložený</v>
      </c>
      <c r="D30" s="32" t="str">
        <f t="shared" si="0"/>
        <v>široký_BLUM_Polonaložený</v>
      </c>
      <c r="E30" s="34" t="str">
        <f>'Translate&amp;Prices&amp;Logo'!$B$582</f>
        <v>s pružinou a tlmením</v>
      </c>
      <c r="F30" s="34" t="str">
        <f>'Translate&amp;Prices&amp;Logo'!$B$586</f>
        <v>čierna</v>
      </c>
      <c r="G30" s="34" t="str">
        <f t="shared" si="10"/>
        <v>306318 - Polonaložený s pružinou a tlmením - čierna</v>
      </c>
      <c r="H30" s="35" t="s">
        <v>1103</v>
      </c>
      <c r="I30" s="35">
        <v>306318</v>
      </c>
      <c r="J30" s="35" t="s">
        <v>1103</v>
      </c>
      <c r="K30" s="35">
        <v>458360</v>
      </c>
      <c r="L30" s="35" t="str">
        <f t="shared" si="2"/>
        <v>krížová skrutka - 458360</v>
      </c>
      <c r="M30" s="35" t="s">
        <v>2122</v>
      </c>
      <c r="N30" s="35" t="str">
        <f t="shared" si="3"/>
        <v>na vrut (s excentrom) - N/A</v>
      </c>
      <c r="O30" s="35" t="s">
        <v>2122</v>
      </c>
      <c r="P30" s="35" t="str">
        <f t="shared" si="4"/>
        <v>euroskrut - N/A</v>
      </c>
      <c r="Q30" s="35">
        <v>347124</v>
      </c>
      <c r="R30" s="35" t="str">
        <f t="shared" si="5"/>
        <v>křížová expando - 347124</v>
      </c>
      <c r="S30" s="35">
        <v>306320</v>
      </c>
      <c r="T30" s="35" t="str">
        <f t="shared" si="6"/>
        <v>priama Skrut - 306320</v>
      </c>
      <c r="U30" s="35" t="s">
        <v>2122</v>
      </c>
      <c r="V30" s="35" t="str">
        <f t="shared" si="7"/>
        <v>přímá euro - N/A</v>
      </c>
      <c r="W30" s="35">
        <v>409651</v>
      </c>
      <c r="X30" s="35" t="str">
        <f t="shared" si="8"/>
        <v>přímá hmoždinka - 409651</v>
      </c>
      <c r="Y30" s="34"/>
      <c r="Z30" s="34"/>
    </row>
    <row r="31" spans="1:26" ht="16.350000000000001" customHeight="1">
      <c r="A31" s="34" t="s">
        <v>1105</v>
      </c>
      <c r="B31" s="34" t="s">
        <v>2</v>
      </c>
      <c r="C31" s="34" t="str">
        <f>'Translate&amp;Prices&amp;Logo'!B554</f>
        <v>Polonaložený</v>
      </c>
      <c r="D31" s="32" t="str">
        <f t="shared" si="0"/>
        <v>široký_BLUM_Polonaložený</v>
      </c>
      <c r="E31" s="34" t="str">
        <f>'Translate&amp;Prices&amp;Logo'!$B$583</f>
        <v>s pružinou bez tlmenia</v>
      </c>
      <c r="F31" s="34" t="str">
        <f>'Translate&amp;Prices&amp;Logo'!$B$585</f>
        <v>strieborná</v>
      </c>
      <c r="G31" s="34" t="str">
        <f t="shared" si="10"/>
        <v>12053 - Polonaložený s pružinou bez tlmenia - strieborná</v>
      </c>
      <c r="H31" s="35" t="s">
        <v>1103</v>
      </c>
      <c r="I31" s="35">
        <v>12053</v>
      </c>
      <c r="J31" s="35" t="s">
        <v>1103</v>
      </c>
      <c r="K31" s="35">
        <v>12306</v>
      </c>
      <c r="L31" s="35" t="str">
        <f t="shared" si="2"/>
        <v>krížová skrutka - 12306</v>
      </c>
      <c r="M31" s="35" t="s">
        <v>2122</v>
      </c>
      <c r="N31" s="35" t="str">
        <f t="shared" si="3"/>
        <v>na vrut (s excentrom) - N/A</v>
      </c>
      <c r="O31" s="35">
        <v>12318</v>
      </c>
      <c r="P31" s="35" t="str">
        <f t="shared" si="4"/>
        <v>euroskrut - 12318</v>
      </c>
      <c r="Q31" s="35">
        <v>12302</v>
      </c>
      <c r="R31" s="35" t="str">
        <f t="shared" si="5"/>
        <v>křížová expando - 12302</v>
      </c>
      <c r="S31" s="35">
        <v>203387</v>
      </c>
      <c r="T31" s="35" t="str">
        <f t="shared" si="6"/>
        <v>priama Skrut - 203387</v>
      </c>
      <c r="U31" s="35">
        <v>346624</v>
      </c>
      <c r="V31" s="35" t="str">
        <f t="shared" si="7"/>
        <v>přímá euro - 346624</v>
      </c>
      <c r="W31" s="35">
        <v>211476</v>
      </c>
      <c r="X31" s="35" t="str">
        <f t="shared" si="8"/>
        <v>přímá hmoždinka - 211476</v>
      </c>
      <c r="Y31" s="34"/>
      <c r="Z31" s="34"/>
    </row>
    <row r="32" spans="1:26" ht="16.350000000000001" customHeight="1">
      <c r="A32" s="34" t="s">
        <v>1105</v>
      </c>
      <c r="B32" s="34" t="s">
        <v>2</v>
      </c>
      <c r="C32" s="34" t="str">
        <f>'Translate&amp;Prices&amp;Logo'!B554</f>
        <v>Polonaložený</v>
      </c>
      <c r="D32" s="32" t="str">
        <f t="shared" si="0"/>
        <v>široký_BLUM_Polonaložený</v>
      </c>
      <c r="E32" s="34" t="str">
        <f>'Translate&amp;Prices&amp;Logo'!$B$584</f>
        <v>tip-on bez pružiny / tlmenia</v>
      </c>
      <c r="F32" s="34" t="str">
        <f>'Translate&amp;Prices&amp;Logo'!$B$585</f>
        <v>strieborná</v>
      </c>
      <c r="G32" s="34" t="str">
        <f t="shared" si="10"/>
        <v>226670 - Polonaložený tip-on bez pružiny / tlmenia - strieborná</v>
      </c>
      <c r="H32" s="35" t="s">
        <v>1103</v>
      </c>
      <c r="I32" s="35">
        <v>226670</v>
      </c>
      <c r="J32" s="35" t="s">
        <v>1103</v>
      </c>
      <c r="K32" s="35">
        <v>12306</v>
      </c>
      <c r="L32" s="35" t="str">
        <f t="shared" si="2"/>
        <v>krížová skrutka - 12306</v>
      </c>
      <c r="M32" s="35" t="s">
        <v>2122</v>
      </c>
      <c r="N32" s="35" t="str">
        <f t="shared" si="3"/>
        <v>na vrut (s excentrom) - N/A</v>
      </c>
      <c r="O32" s="35">
        <v>12318</v>
      </c>
      <c r="P32" s="35" t="str">
        <f t="shared" si="4"/>
        <v>euroskrut - 12318</v>
      </c>
      <c r="Q32" s="35">
        <v>12302</v>
      </c>
      <c r="R32" s="35" t="str">
        <f t="shared" si="5"/>
        <v>křížová expando - 12302</v>
      </c>
      <c r="S32" s="35">
        <v>203387</v>
      </c>
      <c r="T32" s="35" t="str">
        <f t="shared" si="6"/>
        <v>priama Skrut - 203387</v>
      </c>
      <c r="U32" s="35">
        <v>346624</v>
      </c>
      <c r="V32" s="35" t="str">
        <f t="shared" si="7"/>
        <v>přímá euro - 346624</v>
      </c>
      <c r="W32" s="35">
        <v>211476</v>
      </c>
      <c r="X32" s="35" t="str">
        <f t="shared" si="8"/>
        <v>přímá hmoždinka - 211476</v>
      </c>
      <c r="Y32" s="34"/>
      <c r="Z32" s="34"/>
    </row>
    <row r="33" spans="1:26" ht="16.350000000000001" customHeight="1">
      <c r="A33" s="37" t="s">
        <v>1105</v>
      </c>
      <c r="B33" s="37" t="s">
        <v>2</v>
      </c>
      <c r="C33" s="37" t="str">
        <f>'Translate&amp;Prices&amp;Logo'!B555</f>
        <v>Vložený</v>
      </c>
      <c r="D33" s="32" t="str">
        <f t="shared" si="0"/>
        <v>široký_BLUM_Vložený</v>
      </c>
      <c r="E33" s="37" t="str">
        <f>'Translate&amp;Prices&amp;Logo'!$B$582</f>
        <v>s pružinou a tlmením</v>
      </c>
      <c r="F33" s="34" t="str">
        <f>'Translate&amp;Prices&amp;Logo'!$B$585</f>
        <v>strieborná</v>
      </c>
      <c r="G33" s="34" t="str">
        <f t="shared" si="10"/>
        <v>12049 - Vložený s pružinou a tlmením - strieborná</v>
      </c>
      <c r="H33" s="35" t="s">
        <v>1103</v>
      </c>
      <c r="I33" s="35">
        <v>12049</v>
      </c>
      <c r="J33" s="35" t="s">
        <v>1103</v>
      </c>
      <c r="K33" s="35">
        <v>12306</v>
      </c>
      <c r="L33" s="35" t="str">
        <f t="shared" si="2"/>
        <v>krížová skrutka - 12306</v>
      </c>
      <c r="M33" s="35" t="s">
        <v>2122</v>
      </c>
      <c r="N33" s="35" t="str">
        <f t="shared" si="3"/>
        <v>na vrut (s excentrom) - N/A</v>
      </c>
      <c r="O33" s="35">
        <v>12318</v>
      </c>
      <c r="P33" s="35" t="str">
        <f t="shared" si="4"/>
        <v>euroskrut - 12318</v>
      </c>
      <c r="Q33" s="35">
        <v>12302</v>
      </c>
      <c r="R33" s="35" t="str">
        <f t="shared" si="5"/>
        <v>křížová expando - 12302</v>
      </c>
      <c r="S33" s="35">
        <v>203387</v>
      </c>
      <c r="T33" s="35" t="str">
        <f t="shared" si="6"/>
        <v>priama Skrut - 203387</v>
      </c>
      <c r="U33" s="35">
        <v>346624</v>
      </c>
      <c r="V33" s="35" t="str">
        <f t="shared" si="7"/>
        <v>přímá euro - 346624</v>
      </c>
      <c r="W33" s="35">
        <v>211476</v>
      </c>
      <c r="X33" s="35" t="str">
        <f t="shared" si="8"/>
        <v>přímá hmoždinka - 211476</v>
      </c>
      <c r="Y33" s="34"/>
      <c r="Z33" s="34"/>
    </row>
    <row r="34" spans="1:26" ht="16.350000000000001" customHeight="1">
      <c r="A34" s="37" t="s">
        <v>1105</v>
      </c>
      <c r="B34" s="37" t="s">
        <v>2</v>
      </c>
      <c r="C34" s="37" t="str">
        <f>'Translate&amp;Prices&amp;Logo'!B555</f>
        <v>Vložený</v>
      </c>
      <c r="D34" s="32" t="str">
        <f t="shared" si="0"/>
        <v>široký_BLUM_Vložený</v>
      </c>
      <c r="E34" s="37" t="str">
        <f>'Translate&amp;Prices&amp;Logo'!$B$582</f>
        <v>s pružinou a tlmením</v>
      </c>
      <c r="F34" s="34" t="str">
        <f>'Translate&amp;Prices&amp;Logo'!$B$586</f>
        <v>čierna</v>
      </c>
      <c r="G34" s="34" t="str">
        <f t="shared" si="10"/>
        <v>306319 - Vložený s pružinou a tlmením - čierna</v>
      </c>
      <c r="H34" s="35" t="s">
        <v>1103</v>
      </c>
      <c r="I34" s="35">
        <v>306319</v>
      </c>
      <c r="J34" s="35" t="s">
        <v>1103</v>
      </c>
      <c r="K34" s="35">
        <v>458360</v>
      </c>
      <c r="L34" s="35" t="str">
        <f t="shared" si="2"/>
        <v>krížová skrutka - 458360</v>
      </c>
      <c r="M34" s="35" t="s">
        <v>2122</v>
      </c>
      <c r="N34" s="35" t="str">
        <f t="shared" si="3"/>
        <v>na vrut (s excentrom) - N/A</v>
      </c>
      <c r="O34" s="35" t="s">
        <v>2122</v>
      </c>
      <c r="P34" s="35" t="str">
        <f t="shared" si="4"/>
        <v>euroskrut - N/A</v>
      </c>
      <c r="Q34" s="35">
        <v>347124</v>
      </c>
      <c r="R34" s="35" t="str">
        <f t="shared" si="5"/>
        <v>křížová expando - 347124</v>
      </c>
      <c r="S34" s="35">
        <v>306320</v>
      </c>
      <c r="T34" s="35" t="str">
        <f t="shared" si="6"/>
        <v>priama Skrut - 306320</v>
      </c>
      <c r="U34" s="35" t="s">
        <v>2122</v>
      </c>
      <c r="V34" s="35" t="str">
        <f t="shared" si="7"/>
        <v>přímá euro - N/A</v>
      </c>
      <c r="W34" s="35">
        <v>409651</v>
      </c>
      <c r="X34" s="35" t="str">
        <f t="shared" si="8"/>
        <v>přímá hmoždinka - 409651</v>
      </c>
      <c r="Y34" s="34"/>
      <c r="Z34" s="34"/>
    </row>
    <row r="35" spans="1:26" ht="16.350000000000001" customHeight="1">
      <c r="A35" s="37" t="s">
        <v>1105</v>
      </c>
      <c r="B35" s="37" t="s">
        <v>2</v>
      </c>
      <c r="C35" s="37" t="str">
        <f>'Translate&amp;Prices&amp;Logo'!B555</f>
        <v>Vložený</v>
      </c>
      <c r="D35" s="32" t="str">
        <f t="shared" si="0"/>
        <v>široký_BLUM_Vložený</v>
      </c>
      <c r="E35" s="37" t="str">
        <f>'Translate&amp;Prices&amp;Logo'!$B$583</f>
        <v>s pružinou bez tlmenia</v>
      </c>
      <c r="F35" s="34" t="str">
        <f>'Translate&amp;Prices&amp;Logo'!$B$585</f>
        <v>strieborná</v>
      </c>
      <c r="G35" s="34" t="str">
        <f t="shared" si="10"/>
        <v>12059 - Vložený s pružinou bez tlmenia - strieborná</v>
      </c>
      <c r="H35" s="35" t="s">
        <v>1103</v>
      </c>
      <c r="I35" s="35">
        <v>12059</v>
      </c>
      <c r="J35" s="35" t="s">
        <v>1103</v>
      </c>
      <c r="K35" s="35">
        <v>12306</v>
      </c>
      <c r="L35" s="35" t="str">
        <f t="shared" si="2"/>
        <v>krížová skrutka - 12306</v>
      </c>
      <c r="M35" s="35" t="s">
        <v>2122</v>
      </c>
      <c r="N35" s="35" t="str">
        <f t="shared" si="3"/>
        <v>na vrut (s excentrom) - N/A</v>
      </c>
      <c r="O35" s="35">
        <v>12318</v>
      </c>
      <c r="P35" s="35" t="str">
        <f t="shared" si="4"/>
        <v>euroskrut - 12318</v>
      </c>
      <c r="Q35" s="35">
        <v>12302</v>
      </c>
      <c r="R35" s="35" t="str">
        <f t="shared" si="5"/>
        <v>křížová expando - 12302</v>
      </c>
      <c r="S35" s="35">
        <v>203387</v>
      </c>
      <c r="T35" s="35" t="str">
        <f t="shared" si="6"/>
        <v>priama Skrut - 203387</v>
      </c>
      <c r="U35" s="35">
        <v>346624</v>
      </c>
      <c r="V35" s="35" t="str">
        <f t="shared" si="7"/>
        <v>přímá euro - 346624</v>
      </c>
      <c r="W35" s="35">
        <v>211476</v>
      </c>
      <c r="X35" s="35" t="str">
        <f t="shared" si="8"/>
        <v>přímá hmoždinka - 211476</v>
      </c>
      <c r="Y35" s="34"/>
      <c r="Z35" s="34"/>
    </row>
    <row r="36" spans="1:26" ht="15">
      <c r="A36" s="37" t="s">
        <v>1105</v>
      </c>
      <c r="B36" s="37" t="s">
        <v>2</v>
      </c>
      <c r="C36" s="37" t="str">
        <f>'Translate&amp;Prices&amp;Logo'!B555</f>
        <v>Vložený</v>
      </c>
      <c r="D36" s="32" t="str">
        <f t="shared" si="0"/>
        <v>široký_BLUM_Vložený</v>
      </c>
      <c r="E36" s="37" t="str">
        <f>'Translate&amp;Prices&amp;Logo'!$B$584</f>
        <v>tip-on bez pružiny / tlmenia</v>
      </c>
      <c r="F36" s="34" t="str">
        <f>'Translate&amp;Prices&amp;Logo'!$B$585</f>
        <v>strieborná</v>
      </c>
      <c r="G36" s="34" t="str">
        <f t="shared" si="10"/>
        <v>226671 - Vložený tip-on bez pružiny / tlmenia - strieborná</v>
      </c>
      <c r="H36" s="35" t="s">
        <v>1103</v>
      </c>
      <c r="I36" s="35">
        <v>226671</v>
      </c>
      <c r="J36" s="35" t="s">
        <v>1103</v>
      </c>
      <c r="K36" s="35">
        <v>12306</v>
      </c>
      <c r="L36" s="35" t="str">
        <f t="shared" si="2"/>
        <v>krížová skrutka - 12306</v>
      </c>
      <c r="M36" s="35" t="s">
        <v>2122</v>
      </c>
      <c r="N36" s="35" t="str">
        <f t="shared" si="3"/>
        <v>na vrut (s excentrom) - N/A</v>
      </c>
      <c r="O36" s="35">
        <v>12318</v>
      </c>
      <c r="P36" s="35" t="str">
        <f t="shared" si="4"/>
        <v>euroskrut - 12318</v>
      </c>
      <c r="Q36" s="35">
        <v>12302</v>
      </c>
      <c r="R36" s="35" t="str">
        <f t="shared" si="5"/>
        <v>křížová expando - 12302</v>
      </c>
      <c r="S36" s="35">
        <v>203387</v>
      </c>
      <c r="T36" s="35" t="str">
        <f t="shared" si="6"/>
        <v>priama Skrut - 203387</v>
      </c>
      <c r="U36" s="35">
        <v>346624</v>
      </c>
      <c r="V36" s="35" t="str">
        <f t="shared" si="7"/>
        <v>přímá euro - 346624</v>
      </c>
      <c r="W36" s="35">
        <v>211476</v>
      </c>
      <c r="X36" s="35" t="str">
        <f t="shared" si="8"/>
        <v>přímá hmoždinka - 211476</v>
      </c>
      <c r="Y36" s="34"/>
      <c r="Z36" s="34"/>
    </row>
    <row r="37" spans="1:26" ht="15">
      <c r="A37" s="34" t="s">
        <v>1105</v>
      </c>
      <c r="B37" s="34" t="s">
        <v>567</v>
      </c>
      <c r="C37" s="34" t="str">
        <f>'Translate&amp;Prices&amp;Logo'!B553</f>
        <v>Naložený</v>
      </c>
      <c r="D37" s="32" t="str">
        <f t="shared" si="0"/>
        <v>široký_HETTICH_Naložený</v>
      </c>
      <c r="E37" s="34" t="str">
        <f>'Translate&amp;Prices&amp;Logo'!$B$582</f>
        <v>s pružinou a tlmením</v>
      </c>
      <c r="F37" s="34" t="str">
        <f>'Translate&amp;Prices&amp;Logo'!$B$585</f>
        <v>strieborná</v>
      </c>
      <c r="G37" s="34" t="str">
        <f t="shared" si="10"/>
        <v>104717 - Naložený s pružinou a tlmením - strieborná</v>
      </c>
      <c r="H37" s="35" t="s">
        <v>1103</v>
      </c>
      <c r="I37" s="35">
        <v>104717</v>
      </c>
      <c r="J37" s="35" t="s">
        <v>1103</v>
      </c>
      <c r="K37" s="35">
        <v>106403</v>
      </c>
      <c r="L37" s="35" t="str">
        <f t="shared" si="2"/>
        <v>krížová skrutka - 106403</v>
      </c>
      <c r="M37" s="35" t="s">
        <v>2122</v>
      </c>
      <c r="N37" s="35" t="str">
        <f t="shared" si="3"/>
        <v>na vrut (s excentrom) - N/A</v>
      </c>
      <c r="O37" s="35">
        <v>119240</v>
      </c>
      <c r="P37" s="35" t="str">
        <f t="shared" si="4"/>
        <v>euroskrut - 119240</v>
      </c>
      <c r="Q37" s="35">
        <v>136276</v>
      </c>
      <c r="R37" s="35" t="str">
        <f t="shared" si="5"/>
        <v>křížová expando - 136276</v>
      </c>
      <c r="S37" s="35">
        <v>300319</v>
      </c>
      <c r="T37" s="35" t="str">
        <f t="shared" si="6"/>
        <v>priama Skrut - 300319</v>
      </c>
      <c r="U37" s="35" t="s">
        <v>2122</v>
      </c>
      <c r="V37" s="35" t="str">
        <f t="shared" si="7"/>
        <v>přímá euro - N/A</v>
      </c>
      <c r="W37" s="35" t="s">
        <v>2122</v>
      </c>
      <c r="X37" s="35" t="str">
        <f t="shared" si="8"/>
        <v>přímá hmoždinka - N/A</v>
      </c>
      <c r="Y37" s="34"/>
      <c r="Z37" s="34"/>
    </row>
    <row r="38" spans="1:26" ht="15">
      <c r="A38" s="34" t="s">
        <v>1105</v>
      </c>
      <c r="B38" s="34" t="s">
        <v>567</v>
      </c>
      <c r="C38" s="34" t="str">
        <f>'Translate&amp;Prices&amp;Logo'!B553</f>
        <v>Naložený</v>
      </c>
      <c r="D38" s="32" t="str">
        <f t="shared" si="0"/>
        <v>široký_HETTICH_Naložený</v>
      </c>
      <c r="E38" s="34" t="str">
        <f>'Translate&amp;Prices&amp;Logo'!$B$582</f>
        <v>s pružinou a tlmením</v>
      </c>
      <c r="F38" s="34" t="str">
        <f>'Translate&amp;Prices&amp;Logo'!$B$586</f>
        <v>čierna</v>
      </c>
      <c r="G38" s="34" t="str">
        <f t="shared" si="10"/>
        <v>344691 - Naložený s pružinou a tlmením - čierna</v>
      </c>
      <c r="H38" s="35" t="s">
        <v>1103</v>
      </c>
      <c r="I38" s="35">
        <v>344691</v>
      </c>
      <c r="J38" s="35" t="s">
        <v>1103</v>
      </c>
      <c r="K38" s="35" t="s">
        <v>2122</v>
      </c>
      <c r="L38" s="35" t="str">
        <f t="shared" si="2"/>
        <v>krížová skrutka - N/A</v>
      </c>
      <c r="M38" s="35" t="s">
        <v>2122</v>
      </c>
      <c r="N38" s="35" t="str">
        <f t="shared" si="3"/>
        <v>na vrut (s excentrom) - N/A</v>
      </c>
      <c r="O38" s="35">
        <v>344723</v>
      </c>
      <c r="P38" s="35" t="str">
        <f t="shared" si="4"/>
        <v>euroskrut - 344723</v>
      </c>
      <c r="Q38" s="35">
        <v>344727</v>
      </c>
      <c r="R38" s="35" t="str">
        <f t="shared" si="5"/>
        <v>křížová expando - 344727</v>
      </c>
      <c r="S38" s="35">
        <v>397949</v>
      </c>
      <c r="T38" s="35" t="str">
        <f t="shared" si="6"/>
        <v>priama Skrut - 397949</v>
      </c>
      <c r="U38" s="35" t="s">
        <v>2122</v>
      </c>
      <c r="V38" s="35" t="str">
        <f t="shared" si="7"/>
        <v>přímá euro - N/A</v>
      </c>
      <c r="W38" s="35" t="s">
        <v>2122</v>
      </c>
      <c r="X38" s="35" t="str">
        <f t="shared" si="8"/>
        <v>přímá hmoždinka - N/A</v>
      </c>
      <c r="Y38" s="34"/>
      <c r="Z38" s="34"/>
    </row>
    <row r="39" spans="1:26" ht="15">
      <c r="A39" s="34" t="s">
        <v>1105</v>
      </c>
      <c r="B39" s="34" t="s">
        <v>567</v>
      </c>
      <c r="C39" s="34" t="str">
        <f>'Translate&amp;Prices&amp;Logo'!B553</f>
        <v>Naložený</v>
      </c>
      <c r="D39" s="32" t="str">
        <f t="shared" si="0"/>
        <v>široký_HETTICH_Naložený</v>
      </c>
      <c r="E39" s="34" t="str">
        <f>'Translate&amp;Prices&amp;Logo'!$B$583</f>
        <v>s pružinou bez tlmenia</v>
      </c>
      <c r="F39" s="34" t="str">
        <f>'Translate&amp;Prices&amp;Logo'!$B$585</f>
        <v>strieborná</v>
      </c>
      <c r="G39" s="34" t="str">
        <f t="shared" si="10"/>
        <v>232346 - Naložený s pružinou bez tlmenia - strieborná</v>
      </c>
      <c r="H39" s="35" t="s">
        <v>1103</v>
      </c>
      <c r="I39" s="35">
        <v>232346</v>
      </c>
      <c r="J39" s="35" t="s">
        <v>1103</v>
      </c>
      <c r="K39" s="35">
        <v>106403</v>
      </c>
      <c r="L39" s="35" t="str">
        <f t="shared" si="2"/>
        <v>krížová skrutka - 106403</v>
      </c>
      <c r="M39" s="35" t="s">
        <v>2122</v>
      </c>
      <c r="N39" s="35" t="str">
        <f t="shared" si="3"/>
        <v>na vrut (s excentrom) - N/A</v>
      </c>
      <c r="O39" s="35">
        <v>119240</v>
      </c>
      <c r="P39" s="35" t="str">
        <f t="shared" si="4"/>
        <v>euroskrut - 119240</v>
      </c>
      <c r="Q39" s="35">
        <v>136276</v>
      </c>
      <c r="R39" s="35" t="str">
        <f t="shared" si="5"/>
        <v>křížová expando - 136276</v>
      </c>
      <c r="S39" s="35">
        <v>300319</v>
      </c>
      <c r="T39" s="35" t="str">
        <f t="shared" si="6"/>
        <v>priama Skrut - 300319</v>
      </c>
      <c r="U39" s="35" t="s">
        <v>2122</v>
      </c>
      <c r="V39" s="35" t="str">
        <f t="shared" si="7"/>
        <v>přímá euro - N/A</v>
      </c>
      <c r="W39" s="35" t="s">
        <v>2122</v>
      </c>
      <c r="X39" s="35" t="str">
        <f t="shared" si="8"/>
        <v>přímá hmoždinka - N/A</v>
      </c>
      <c r="Y39" s="34"/>
      <c r="Z39" s="34"/>
    </row>
    <row r="40" spans="1:26" ht="15">
      <c r="A40" s="34" t="s">
        <v>1105</v>
      </c>
      <c r="B40" s="34" t="s">
        <v>567</v>
      </c>
      <c r="C40" s="34" t="str">
        <f>'Translate&amp;Prices&amp;Logo'!B553</f>
        <v>Naložený</v>
      </c>
      <c r="D40" s="32" t="str">
        <f t="shared" si="0"/>
        <v>široký_HETTICH_Naložený</v>
      </c>
      <c r="E40" s="34" t="str">
        <f>'Translate&amp;Prices&amp;Logo'!$B$584</f>
        <v>tip-on bez pružiny / tlmenia</v>
      </c>
      <c r="F40" s="34" t="str">
        <f>'Translate&amp;Prices&amp;Logo'!$B$585</f>
        <v>strieborná</v>
      </c>
      <c r="G40" s="34" t="str">
        <f t="shared" si="10"/>
        <v>245723 - Naložený tip-on bez pružiny / tlmenia - strieborná</v>
      </c>
      <c r="H40" s="35" t="s">
        <v>1103</v>
      </c>
      <c r="I40" s="35">
        <v>245723</v>
      </c>
      <c r="J40" s="35" t="s">
        <v>1103</v>
      </c>
      <c r="K40" s="35">
        <v>106403</v>
      </c>
      <c r="L40" s="35" t="str">
        <f t="shared" si="2"/>
        <v>krížová skrutka - 106403</v>
      </c>
      <c r="M40" s="35" t="s">
        <v>2122</v>
      </c>
      <c r="N40" s="35" t="str">
        <f t="shared" si="3"/>
        <v>na vrut (s excentrom) - N/A</v>
      </c>
      <c r="O40" s="35">
        <v>119240</v>
      </c>
      <c r="P40" s="35" t="str">
        <f t="shared" si="4"/>
        <v>euroskrut - 119240</v>
      </c>
      <c r="Q40" s="35">
        <v>136276</v>
      </c>
      <c r="R40" s="35" t="str">
        <f t="shared" si="5"/>
        <v>křížová expando - 136276</v>
      </c>
      <c r="S40" s="35">
        <v>300319</v>
      </c>
      <c r="T40" s="35" t="str">
        <f t="shared" si="6"/>
        <v>priama Skrut - 300319</v>
      </c>
      <c r="U40" s="35" t="s">
        <v>2122</v>
      </c>
      <c r="V40" s="35" t="str">
        <f t="shared" si="7"/>
        <v>přímá euro - N/A</v>
      </c>
      <c r="W40" s="35" t="s">
        <v>2122</v>
      </c>
      <c r="X40" s="35" t="str">
        <f t="shared" si="8"/>
        <v>přímá hmoždinka - N/A</v>
      </c>
      <c r="Y40" s="34"/>
      <c r="Z40" s="34"/>
    </row>
    <row r="41" spans="1:26" ht="15">
      <c r="A41" s="34" t="s">
        <v>1105</v>
      </c>
      <c r="B41" s="34" t="s">
        <v>567</v>
      </c>
      <c r="C41" s="34" t="str">
        <f>'Translate&amp;Prices&amp;Logo'!B553</f>
        <v>Naložený</v>
      </c>
      <c r="D41" s="32" t="str">
        <f t="shared" si="0"/>
        <v>široký_HETTICH_Naložený</v>
      </c>
      <c r="E41" s="34" t="str">
        <f>'Translate&amp;Prices&amp;Logo'!$B$584</f>
        <v>tip-on bez pružiny / tlmenia</v>
      </c>
      <c r="F41" s="34" t="str">
        <f>'Translate&amp;Prices&amp;Logo'!$B$586</f>
        <v>čierna</v>
      </c>
      <c r="G41" s="34" t="str">
        <f t="shared" si="10"/>
        <v>344694 - Naložený tip-on bez pružiny / tlmenia - čierna</v>
      </c>
      <c r="H41" s="35" t="s">
        <v>1103</v>
      </c>
      <c r="I41" s="35">
        <v>344694</v>
      </c>
      <c r="J41" s="35" t="s">
        <v>1103</v>
      </c>
      <c r="K41" s="35" t="s">
        <v>2122</v>
      </c>
      <c r="L41" s="35" t="str">
        <f t="shared" si="2"/>
        <v>krížová skrutka - N/A</v>
      </c>
      <c r="M41" s="35" t="s">
        <v>2122</v>
      </c>
      <c r="N41" s="35" t="str">
        <f t="shared" si="3"/>
        <v>na vrut (s excentrom) - N/A</v>
      </c>
      <c r="O41" s="35">
        <v>344723</v>
      </c>
      <c r="P41" s="35" t="str">
        <f t="shared" si="4"/>
        <v>euroskrut - 344723</v>
      </c>
      <c r="Q41" s="35">
        <v>344727</v>
      </c>
      <c r="R41" s="35" t="str">
        <f t="shared" si="5"/>
        <v>křížová expando - 344727</v>
      </c>
      <c r="S41" s="35">
        <v>397949</v>
      </c>
      <c r="T41" s="35" t="str">
        <f t="shared" si="6"/>
        <v>priama Skrut - 397949</v>
      </c>
      <c r="U41" s="35" t="s">
        <v>2122</v>
      </c>
      <c r="V41" s="35" t="str">
        <f t="shared" si="7"/>
        <v>přímá euro - N/A</v>
      </c>
      <c r="W41" s="35" t="s">
        <v>2122</v>
      </c>
      <c r="X41" s="35" t="str">
        <f t="shared" si="8"/>
        <v>přímá hmoždinka - N/A</v>
      </c>
      <c r="Y41" s="34"/>
      <c r="Z41" s="34"/>
    </row>
    <row r="42" spans="1:26" ht="15">
      <c r="A42" s="37" t="s">
        <v>1105</v>
      </c>
      <c r="B42" s="37" t="s">
        <v>567</v>
      </c>
      <c r="C42" s="37" t="str">
        <f>'Translate&amp;Prices&amp;Logo'!B554</f>
        <v>Polonaložený</v>
      </c>
      <c r="D42" s="32" t="str">
        <f t="shared" si="0"/>
        <v>široký_HETTICH_Polonaložený</v>
      </c>
      <c r="E42" s="37" t="str">
        <f>'Translate&amp;Prices&amp;Logo'!$B$582</f>
        <v>s pružinou a tlmením</v>
      </c>
      <c r="F42" s="34" t="str">
        <f>'Translate&amp;Prices&amp;Logo'!$B$585</f>
        <v>strieborná</v>
      </c>
      <c r="G42" s="34" t="str">
        <f t="shared" si="10"/>
        <v>104718 - Polonaložený s pružinou a tlmením - strieborná</v>
      </c>
      <c r="H42" s="35" t="s">
        <v>1103</v>
      </c>
      <c r="I42" s="35">
        <v>104718</v>
      </c>
      <c r="J42" s="35" t="s">
        <v>1103</v>
      </c>
      <c r="K42" s="35">
        <v>106403</v>
      </c>
      <c r="L42" s="35" t="str">
        <f t="shared" si="2"/>
        <v>krížová skrutka - 106403</v>
      </c>
      <c r="M42" s="35" t="s">
        <v>2122</v>
      </c>
      <c r="N42" s="35" t="str">
        <f t="shared" si="3"/>
        <v>na vrut (s excentrom) - N/A</v>
      </c>
      <c r="O42" s="35">
        <v>119240</v>
      </c>
      <c r="P42" s="35" t="str">
        <f t="shared" si="4"/>
        <v>euroskrut - 119240</v>
      </c>
      <c r="Q42" s="35">
        <v>136276</v>
      </c>
      <c r="R42" s="35" t="str">
        <f t="shared" si="5"/>
        <v>křížová expando - 136276</v>
      </c>
      <c r="S42" s="35">
        <v>300319</v>
      </c>
      <c r="T42" s="35" t="str">
        <f t="shared" si="6"/>
        <v>priama Skrut - 300319</v>
      </c>
      <c r="U42" s="35" t="s">
        <v>2122</v>
      </c>
      <c r="V42" s="35" t="str">
        <f t="shared" si="7"/>
        <v>přímá euro - N/A</v>
      </c>
      <c r="W42" s="35" t="s">
        <v>2122</v>
      </c>
      <c r="X42" s="35" t="str">
        <f t="shared" si="8"/>
        <v>přímá hmoždinka - N/A</v>
      </c>
      <c r="Y42" s="34"/>
      <c r="Z42" s="34"/>
    </row>
    <row r="43" spans="1:26" ht="15">
      <c r="A43" s="37" t="s">
        <v>1105</v>
      </c>
      <c r="B43" s="37" t="s">
        <v>567</v>
      </c>
      <c r="C43" s="37" t="str">
        <f>'Translate&amp;Prices&amp;Logo'!B554</f>
        <v>Polonaložený</v>
      </c>
      <c r="D43" s="32" t="str">
        <f t="shared" si="0"/>
        <v>široký_HETTICH_Polonaložený</v>
      </c>
      <c r="E43" s="37" t="str">
        <f>'Translate&amp;Prices&amp;Logo'!$B$582</f>
        <v>s pružinou a tlmením</v>
      </c>
      <c r="F43" s="34" t="str">
        <f>'Translate&amp;Prices&amp;Logo'!$B$586</f>
        <v>čierna</v>
      </c>
      <c r="G43" s="34" t="str">
        <f t="shared" si="10"/>
        <v>344692 - Polonaložený s pružinou a tlmením - čierna</v>
      </c>
      <c r="H43" s="35" t="s">
        <v>1103</v>
      </c>
      <c r="I43" s="35">
        <v>344692</v>
      </c>
      <c r="J43" s="35" t="s">
        <v>1103</v>
      </c>
      <c r="K43" s="35" t="s">
        <v>2122</v>
      </c>
      <c r="L43" s="35" t="str">
        <f t="shared" si="2"/>
        <v>krížová skrutka - N/A</v>
      </c>
      <c r="M43" s="35" t="s">
        <v>2122</v>
      </c>
      <c r="N43" s="35" t="str">
        <f t="shared" si="3"/>
        <v>na vrut (s excentrom) - N/A</v>
      </c>
      <c r="O43" s="35">
        <v>344723</v>
      </c>
      <c r="P43" s="35" t="str">
        <f t="shared" si="4"/>
        <v>euroskrut - 344723</v>
      </c>
      <c r="Q43" s="35">
        <v>344727</v>
      </c>
      <c r="R43" s="35" t="str">
        <f t="shared" si="5"/>
        <v>křížová expando - 344727</v>
      </c>
      <c r="S43" s="35">
        <v>397949</v>
      </c>
      <c r="T43" s="35" t="str">
        <f t="shared" si="6"/>
        <v>priama Skrut - 397949</v>
      </c>
      <c r="U43" s="35" t="s">
        <v>2122</v>
      </c>
      <c r="V43" s="35" t="str">
        <f t="shared" si="7"/>
        <v>přímá euro - N/A</v>
      </c>
      <c r="W43" s="35" t="s">
        <v>2122</v>
      </c>
      <c r="X43" s="35" t="str">
        <f t="shared" si="8"/>
        <v>přímá hmoždinka - N/A</v>
      </c>
      <c r="Y43" s="34"/>
      <c r="Z43" s="34"/>
    </row>
    <row r="44" spans="1:26" ht="15">
      <c r="A44" s="37" t="s">
        <v>1105</v>
      </c>
      <c r="B44" s="37" t="s">
        <v>567</v>
      </c>
      <c r="C44" s="37" t="str">
        <f>'Translate&amp;Prices&amp;Logo'!B554</f>
        <v>Polonaložený</v>
      </c>
      <c r="D44" s="32" t="str">
        <f t="shared" si="0"/>
        <v>široký_HETTICH_Polonaložený</v>
      </c>
      <c r="E44" s="37" t="str">
        <f>'Translate&amp;Prices&amp;Logo'!$B$583</f>
        <v>s pružinou bez tlmenia</v>
      </c>
      <c r="F44" s="34" t="str">
        <f>'Translate&amp;Prices&amp;Logo'!$B$585</f>
        <v>strieborná</v>
      </c>
      <c r="G44" s="34" t="str">
        <f t="shared" si="10"/>
        <v>232347 - Polonaložený s pružinou bez tlmenia - strieborná</v>
      </c>
      <c r="H44" s="35" t="s">
        <v>1103</v>
      </c>
      <c r="I44" s="35">
        <v>232347</v>
      </c>
      <c r="J44" s="35" t="s">
        <v>1103</v>
      </c>
      <c r="K44" s="35">
        <v>106403</v>
      </c>
      <c r="L44" s="35" t="str">
        <f t="shared" si="2"/>
        <v>krížová skrutka - 106403</v>
      </c>
      <c r="M44" s="35" t="s">
        <v>2122</v>
      </c>
      <c r="N44" s="35" t="str">
        <f t="shared" si="3"/>
        <v>na vrut (s excentrom) - N/A</v>
      </c>
      <c r="O44" s="35">
        <v>119240</v>
      </c>
      <c r="P44" s="35" t="str">
        <f t="shared" si="4"/>
        <v>euroskrut - 119240</v>
      </c>
      <c r="Q44" s="35">
        <v>136276</v>
      </c>
      <c r="R44" s="35" t="str">
        <f t="shared" si="5"/>
        <v>křížová expando - 136276</v>
      </c>
      <c r="S44" s="35">
        <v>300319</v>
      </c>
      <c r="T44" s="35" t="str">
        <f t="shared" si="6"/>
        <v>priama Skrut - 300319</v>
      </c>
      <c r="U44" s="35" t="s">
        <v>2122</v>
      </c>
      <c r="V44" s="35" t="str">
        <f t="shared" si="7"/>
        <v>přímá euro - N/A</v>
      </c>
      <c r="W44" s="35" t="s">
        <v>2122</v>
      </c>
      <c r="X44" s="35" t="str">
        <f t="shared" si="8"/>
        <v>přímá hmoždinka - N/A</v>
      </c>
      <c r="Y44" s="34"/>
      <c r="Z44" s="34"/>
    </row>
    <row r="45" spans="1:26" ht="15">
      <c r="A45" s="37" t="s">
        <v>1105</v>
      </c>
      <c r="B45" s="37" t="s">
        <v>567</v>
      </c>
      <c r="C45" s="37" t="str">
        <f>'Translate&amp;Prices&amp;Logo'!B554</f>
        <v>Polonaložený</v>
      </c>
      <c r="D45" s="32" t="str">
        <f t="shared" si="0"/>
        <v>široký_HETTICH_Polonaložený</v>
      </c>
      <c r="E45" s="37" t="str">
        <f>'Translate&amp;Prices&amp;Logo'!$B$584</f>
        <v>tip-on bez pružiny / tlmenia</v>
      </c>
      <c r="F45" s="34" t="str">
        <f>'Translate&amp;Prices&amp;Logo'!$B$585</f>
        <v>strieborná</v>
      </c>
      <c r="G45" s="34" t="str">
        <f t="shared" si="10"/>
        <v>245724 - Polonaložený tip-on bez pružiny / tlmenia - strieborná</v>
      </c>
      <c r="H45" s="35" t="s">
        <v>1103</v>
      </c>
      <c r="I45" s="35">
        <v>245724</v>
      </c>
      <c r="J45" s="35" t="s">
        <v>1103</v>
      </c>
      <c r="K45" s="35">
        <v>106403</v>
      </c>
      <c r="L45" s="35" t="str">
        <f t="shared" si="2"/>
        <v>krížová skrutka - 106403</v>
      </c>
      <c r="M45" s="35" t="s">
        <v>2122</v>
      </c>
      <c r="N45" s="35" t="str">
        <f t="shared" si="3"/>
        <v>na vrut (s excentrom) - N/A</v>
      </c>
      <c r="O45" s="35">
        <v>119240</v>
      </c>
      <c r="P45" s="35" t="str">
        <f t="shared" si="4"/>
        <v>euroskrut - 119240</v>
      </c>
      <c r="Q45" s="35">
        <v>136276</v>
      </c>
      <c r="R45" s="35" t="str">
        <f t="shared" si="5"/>
        <v>křížová expando - 136276</v>
      </c>
      <c r="S45" s="35">
        <v>300319</v>
      </c>
      <c r="T45" s="35" t="str">
        <f t="shared" si="6"/>
        <v>priama Skrut - 300319</v>
      </c>
      <c r="U45" s="35" t="s">
        <v>2122</v>
      </c>
      <c r="V45" s="35" t="str">
        <f t="shared" si="7"/>
        <v>přímá euro - N/A</v>
      </c>
      <c r="W45" s="35" t="s">
        <v>2122</v>
      </c>
      <c r="X45" s="35" t="str">
        <f t="shared" si="8"/>
        <v>přímá hmoždinka - N/A</v>
      </c>
      <c r="Y45" s="34"/>
      <c r="Z45" s="34"/>
    </row>
    <row r="46" spans="1:26" ht="15">
      <c r="A46" s="37" t="s">
        <v>1105</v>
      </c>
      <c r="B46" s="37" t="s">
        <v>567</v>
      </c>
      <c r="C46" s="37" t="str">
        <f>'Translate&amp;Prices&amp;Logo'!B554</f>
        <v>Polonaložený</v>
      </c>
      <c r="D46" s="32" t="str">
        <f t="shared" si="0"/>
        <v>široký_HETTICH_Polonaložený</v>
      </c>
      <c r="E46" s="37" t="str">
        <f>'Translate&amp;Prices&amp;Logo'!$B$584</f>
        <v>tip-on bez pružiny / tlmenia</v>
      </c>
      <c r="F46" s="34" t="str">
        <f>'Translate&amp;Prices&amp;Logo'!$B$586</f>
        <v>čierna</v>
      </c>
      <c r="G46" s="34" t="str">
        <f t="shared" si="10"/>
        <v>344695 - Polonaložený tip-on bez pružiny / tlmenia - čierna</v>
      </c>
      <c r="H46" s="35" t="s">
        <v>1103</v>
      </c>
      <c r="I46" s="35">
        <v>344695</v>
      </c>
      <c r="J46" s="35" t="s">
        <v>1103</v>
      </c>
      <c r="K46" s="35" t="s">
        <v>2122</v>
      </c>
      <c r="L46" s="35" t="str">
        <f t="shared" si="2"/>
        <v>krížová skrutka - N/A</v>
      </c>
      <c r="M46" s="35" t="s">
        <v>2122</v>
      </c>
      <c r="N46" s="35" t="str">
        <f t="shared" si="3"/>
        <v>na vrut (s excentrom) - N/A</v>
      </c>
      <c r="O46" s="35">
        <v>344723</v>
      </c>
      <c r="P46" s="35" t="str">
        <f t="shared" si="4"/>
        <v>euroskrut - 344723</v>
      </c>
      <c r="Q46" s="35">
        <v>344727</v>
      </c>
      <c r="R46" s="35" t="str">
        <f t="shared" si="5"/>
        <v>křížová expando - 344727</v>
      </c>
      <c r="S46" s="35">
        <v>397949</v>
      </c>
      <c r="T46" s="35" t="str">
        <f t="shared" si="6"/>
        <v>priama Skrut - 397949</v>
      </c>
      <c r="U46" s="35" t="s">
        <v>2122</v>
      </c>
      <c r="V46" s="35" t="str">
        <f t="shared" si="7"/>
        <v>přímá euro - N/A</v>
      </c>
      <c r="W46" s="35" t="s">
        <v>2122</v>
      </c>
      <c r="X46" s="35" t="str">
        <f t="shared" si="8"/>
        <v>přímá hmoždinka - N/A</v>
      </c>
      <c r="Y46" s="34"/>
      <c r="Z46" s="34"/>
    </row>
    <row r="47" spans="1:26" ht="15">
      <c r="A47" s="34" t="s">
        <v>1105</v>
      </c>
      <c r="B47" s="34" t="s">
        <v>567</v>
      </c>
      <c r="C47" s="34" t="str">
        <f>'Translate&amp;Prices&amp;Logo'!B555</f>
        <v>Vložený</v>
      </c>
      <c r="D47" s="32" t="str">
        <f t="shared" si="0"/>
        <v>široký_HETTICH_Vložený</v>
      </c>
      <c r="E47" s="34" t="str">
        <f>'Translate&amp;Prices&amp;Logo'!$B$582</f>
        <v>s pružinou a tlmením</v>
      </c>
      <c r="F47" s="34" t="str">
        <f>'Translate&amp;Prices&amp;Logo'!$B$585</f>
        <v>strieborná</v>
      </c>
      <c r="G47" s="34" t="str">
        <f t="shared" si="10"/>
        <v>104719 - Vložený s pružinou a tlmením - strieborná</v>
      </c>
      <c r="H47" s="35" t="s">
        <v>1103</v>
      </c>
      <c r="I47" s="35">
        <v>104719</v>
      </c>
      <c r="J47" s="35" t="s">
        <v>1103</v>
      </c>
      <c r="K47" s="35">
        <v>106403</v>
      </c>
      <c r="L47" s="35" t="str">
        <f t="shared" si="2"/>
        <v>krížová skrutka - 106403</v>
      </c>
      <c r="M47" s="35" t="s">
        <v>2122</v>
      </c>
      <c r="N47" s="35" t="str">
        <f t="shared" si="3"/>
        <v>na vrut (s excentrom) - N/A</v>
      </c>
      <c r="O47" s="35">
        <v>119240</v>
      </c>
      <c r="P47" s="35" t="str">
        <f t="shared" si="4"/>
        <v>euroskrut - 119240</v>
      </c>
      <c r="Q47" s="35">
        <v>136276</v>
      </c>
      <c r="R47" s="35" t="str">
        <f t="shared" si="5"/>
        <v>křížová expando - 136276</v>
      </c>
      <c r="S47" s="35">
        <v>300319</v>
      </c>
      <c r="T47" s="35" t="str">
        <f t="shared" si="6"/>
        <v>priama Skrut - 300319</v>
      </c>
      <c r="U47" s="35" t="s">
        <v>2122</v>
      </c>
      <c r="V47" s="35" t="str">
        <f t="shared" si="7"/>
        <v>přímá euro - N/A</v>
      </c>
      <c r="W47" s="35" t="s">
        <v>2122</v>
      </c>
      <c r="X47" s="35" t="str">
        <f t="shared" si="8"/>
        <v>přímá hmoždinka - N/A</v>
      </c>
      <c r="Y47" s="34"/>
      <c r="Z47" s="34"/>
    </row>
    <row r="48" spans="1:26" ht="15">
      <c r="A48" s="34" t="s">
        <v>1105</v>
      </c>
      <c r="B48" s="34" t="s">
        <v>567</v>
      </c>
      <c r="C48" s="34" t="str">
        <f>'Translate&amp;Prices&amp;Logo'!B555</f>
        <v>Vložený</v>
      </c>
      <c r="D48" s="32" t="str">
        <f t="shared" si="0"/>
        <v>široký_HETTICH_Vložený</v>
      </c>
      <c r="E48" s="34" t="str">
        <f>'Translate&amp;Prices&amp;Logo'!$B$582</f>
        <v>s pružinou a tlmením</v>
      </c>
      <c r="F48" s="34" t="str">
        <f>'Translate&amp;Prices&amp;Logo'!$B$586</f>
        <v>čierna</v>
      </c>
      <c r="G48" s="34" t="str">
        <f t="shared" si="10"/>
        <v>344693 - Vložený s pružinou a tlmením - čierna</v>
      </c>
      <c r="H48" s="35" t="s">
        <v>1103</v>
      </c>
      <c r="I48" s="35">
        <v>344693</v>
      </c>
      <c r="J48" s="35" t="s">
        <v>1103</v>
      </c>
      <c r="K48" s="35" t="s">
        <v>2122</v>
      </c>
      <c r="L48" s="35" t="str">
        <f t="shared" si="2"/>
        <v>krížová skrutka - N/A</v>
      </c>
      <c r="M48" s="35" t="s">
        <v>2122</v>
      </c>
      <c r="N48" s="35" t="str">
        <f t="shared" si="3"/>
        <v>na vrut (s excentrom) - N/A</v>
      </c>
      <c r="O48" s="35">
        <v>344723</v>
      </c>
      <c r="P48" s="35" t="str">
        <f t="shared" si="4"/>
        <v>euroskrut - 344723</v>
      </c>
      <c r="Q48" s="35">
        <v>344727</v>
      </c>
      <c r="R48" s="35" t="str">
        <f t="shared" si="5"/>
        <v>křížová expando - 344727</v>
      </c>
      <c r="S48" s="35">
        <v>397949</v>
      </c>
      <c r="T48" s="35" t="str">
        <f t="shared" si="6"/>
        <v>priama Skrut - 397949</v>
      </c>
      <c r="U48" s="35" t="s">
        <v>2122</v>
      </c>
      <c r="V48" s="35" t="str">
        <f t="shared" si="7"/>
        <v>přímá euro - N/A</v>
      </c>
      <c r="W48" s="35" t="s">
        <v>2122</v>
      </c>
      <c r="X48" s="35" t="str">
        <f t="shared" si="8"/>
        <v>přímá hmoždinka - N/A</v>
      </c>
      <c r="Y48" s="34"/>
      <c r="Z48" s="34"/>
    </row>
    <row r="49" spans="1:26" ht="15">
      <c r="A49" s="34" t="s">
        <v>1105</v>
      </c>
      <c r="B49" s="34" t="s">
        <v>567</v>
      </c>
      <c r="C49" s="34" t="str">
        <f>'Translate&amp;Prices&amp;Logo'!B555</f>
        <v>Vložený</v>
      </c>
      <c r="D49" s="32" t="str">
        <f t="shared" si="0"/>
        <v>široký_HETTICH_Vložený</v>
      </c>
      <c r="E49" s="34" t="str">
        <f>'Translate&amp;Prices&amp;Logo'!$B$583</f>
        <v>s pružinou bez tlmenia</v>
      </c>
      <c r="F49" s="34" t="str">
        <f>'Translate&amp;Prices&amp;Logo'!$B$585</f>
        <v>strieborná</v>
      </c>
      <c r="G49" s="34" t="str">
        <f t="shared" si="10"/>
        <v>232348 - Vložený s pružinou bez tlmenia - strieborná</v>
      </c>
      <c r="H49" s="35" t="s">
        <v>1103</v>
      </c>
      <c r="I49" s="35">
        <v>232348</v>
      </c>
      <c r="J49" s="35" t="s">
        <v>1103</v>
      </c>
      <c r="K49" s="35">
        <v>106403</v>
      </c>
      <c r="L49" s="35" t="str">
        <f t="shared" si="2"/>
        <v>krížová skrutka - 106403</v>
      </c>
      <c r="M49" s="35" t="s">
        <v>2122</v>
      </c>
      <c r="N49" s="35" t="str">
        <f t="shared" si="3"/>
        <v>na vrut (s excentrom) - N/A</v>
      </c>
      <c r="O49" s="35">
        <v>119240</v>
      </c>
      <c r="P49" s="35" t="str">
        <f t="shared" si="4"/>
        <v>euroskrut - 119240</v>
      </c>
      <c r="Q49" s="35">
        <v>136276</v>
      </c>
      <c r="R49" s="35" t="str">
        <f t="shared" si="5"/>
        <v>křížová expando - 136276</v>
      </c>
      <c r="S49" s="35">
        <v>300319</v>
      </c>
      <c r="T49" s="35" t="str">
        <f t="shared" si="6"/>
        <v>priama Skrut - 300319</v>
      </c>
      <c r="U49" s="35" t="s">
        <v>2122</v>
      </c>
      <c r="V49" s="35" t="str">
        <f t="shared" si="7"/>
        <v>přímá euro - N/A</v>
      </c>
      <c r="W49" s="35" t="s">
        <v>2122</v>
      </c>
      <c r="X49" s="35" t="str">
        <f t="shared" si="8"/>
        <v>přímá hmoždinka - N/A</v>
      </c>
      <c r="Y49" s="34"/>
      <c r="Z49" s="34"/>
    </row>
    <row r="50" spans="1:26" ht="15">
      <c r="A50" s="34" t="s">
        <v>1105</v>
      </c>
      <c r="B50" s="34" t="s">
        <v>567</v>
      </c>
      <c r="C50" s="34" t="str">
        <f>'Translate&amp;Prices&amp;Logo'!B555</f>
        <v>Vložený</v>
      </c>
      <c r="D50" s="32" t="str">
        <f t="shared" si="0"/>
        <v>široký_HETTICH_Vložený</v>
      </c>
      <c r="E50" s="34" t="str">
        <f>'Translate&amp;Prices&amp;Logo'!$B$584</f>
        <v>tip-on bez pružiny / tlmenia</v>
      </c>
      <c r="F50" s="34" t="str">
        <f>'Translate&amp;Prices&amp;Logo'!$B$585</f>
        <v>strieborná</v>
      </c>
      <c r="G50" s="34" t="str">
        <f t="shared" si="10"/>
        <v>245725 - Vložený tip-on bez pružiny / tlmenia - strieborná</v>
      </c>
      <c r="H50" s="35" t="s">
        <v>1103</v>
      </c>
      <c r="I50" s="35">
        <v>245725</v>
      </c>
      <c r="J50" s="35" t="s">
        <v>1103</v>
      </c>
      <c r="K50" s="35">
        <v>106403</v>
      </c>
      <c r="L50" s="35" t="str">
        <f t="shared" si="2"/>
        <v>krížová skrutka - 106403</v>
      </c>
      <c r="M50" s="35" t="s">
        <v>2122</v>
      </c>
      <c r="N50" s="35" t="str">
        <f t="shared" si="3"/>
        <v>na vrut (s excentrom) - N/A</v>
      </c>
      <c r="O50" s="35">
        <v>119240</v>
      </c>
      <c r="P50" s="35" t="str">
        <f t="shared" si="4"/>
        <v>euroskrut - 119240</v>
      </c>
      <c r="Q50" s="35">
        <v>136276</v>
      </c>
      <c r="R50" s="35" t="str">
        <f t="shared" si="5"/>
        <v>křížová expando - 136276</v>
      </c>
      <c r="S50" s="35">
        <v>300319</v>
      </c>
      <c r="T50" s="35" t="str">
        <f t="shared" si="6"/>
        <v>priama Skrut - 300319</v>
      </c>
      <c r="U50" s="35" t="s">
        <v>2122</v>
      </c>
      <c r="V50" s="35" t="str">
        <f t="shared" si="7"/>
        <v>přímá euro - N/A</v>
      </c>
      <c r="W50" s="35" t="s">
        <v>2122</v>
      </c>
      <c r="X50" s="35" t="str">
        <f t="shared" si="8"/>
        <v>přímá hmoždinka - N/A</v>
      </c>
      <c r="Y50" s="34"/>
      <c r="Z50" s="34"/>
    </row>
    <row r="51" spans="1:26" ht="15">
      <c r="A51" s="34" t="s">
        <v>1105</v>
      </c>
      <c r="B51" s="34" t="s">
        <v>567</v>
      </c>
      <c r="C51" s="34" t="str">
        <f>'Translate&amp;Prices&amp;Logo'!B555</f>
        <v>Vložený</v>
      </c>
      <c r="D51" s="32" t="str">
        <f t="shared" si="0"/>
        <v>široký_HETTICH_Vložený</v>
      </c>
      <c r="E51" s="34" t="str">
        <f>'Translate&amp;Prices&amp;Logo'!$B$584</f>
        <v>tip-on bez pružiny / tlmenia</v>
      </c>
      <c r="F51" s="34" t="str">
        <f>'Translate&amp;Prices&amp;Logo'!$B$586</f>
        <v>čierna</v>
      </c>
      <c r="G51" s="34" t="str">
        <f t="shared" si="10"/>
        <v>344696 - Vložený tip-on bez pružiny / tlmenia - čierna</v>
      </c>
      <c r="H51" s="35" t="s">
        <v>1103</v>
      </c>
      <c r="I51" s="35">
        <v>344696</v>
      </c>
      <c r="J51" s="35" t="s">
        <v>1103</v>
      </c>
      <c r="K51" s="35" t="s">
        <v>2122</v>
      </c>
      <c r="L51" s="35" t="str">
        <f t="shared" si="2"/>
        <v>krížová skrutka - N/A</v>
      </c>
      <c r="M51" s="35" t="s">
        <v>2122</v>
      </c>
      <c r="N51" s="35" t="str">
        <f t="shared" si="3"/>
        <v>na vrut (s excentrom) - N/A</v>
      </c>
      <c r="O51" s="35">
        <v>344723</v>
      </c>
      <c r="P51" s="35" t="str">
        <f t="shared" si="4"/>
        <v>euroskrut - 344723</v>
      </c>
      <c r="Q51" s="35">
        <v>344727</v>
      </c>
      <c r="R51" s="35" t="str">
        <f t="shared" si="5"/>
        <v>křížová expando - 344727</v>
      </c>
      <c r="S51" s="35">
        <v>397949</v>
      </c>
      <c r="T51" s="35" t="str">
        <f t="shared" si="6"/>
        <v>priama Skrut - 397949</v>
      </c>
      <c r="U51" s="35" t="s">
        <v>2122</v>
      </c>
      <c r="V51" s="35" t="str">
        <f t="shared" si="7"/>
        <v>přímá euro - N/A</v>
      </c>
      <c r="W51" s="35" t="s">
        <v>2122</v>
      </c>
      <c r="X51" s="35" t="str">
        <f t="shared" si="8"/>
        <v>přímá hmoždinka - N/A</v>
      </c>
      <c r="Y51" s="34"/>
      <c r="Z51" s="34"/>
    </row>
    <row r="52" spans="1:26" ht="15">
      <c r="A52" s="37" t="s">
        <v>1105</v>
      </c>
      <c r="B52" s="37" t="s">
        <v>57</v>
      </c>
      <c r="C52" s="37" t="str">
        <f>'Translate&amp;Prices&amp;Logo'!B553</f>
        <v>Naložený</v>
      </c>
      <c r="D52" s="32" t="str">
        <f t="shared" si="0"/>
        <v>široký_STRONG_Naložený</v>
      </c>
      <c r="E52" s="37" t="str">
        <f>'Translate&amp;Prices&amp;Logo'!$B$582</f>
        <v>s pružinou a tlmením</v>
      </c>
      <c r="F52" s="34" t="str">
        <f>'Translate&amp;Prices&amp;Logo'!$B$585</f>
        <v>strieborná</v>
      </c>
      <c r="G52" s="34" t="str">
        <f t="shared" si="10"/>
        <v>92580T - Naložený s pružinou a tlmením - strieborná</v>
      </c>
      <c r="H52" s="35" t="s">
        <v>1103</v>
      </c>
      <c r="I52" s="35" t="s">
        <v>59</v>
      </c>
      <c r="J52" s="35" t="s">
        <v>1103</v>
      </c>
      <c r="K52" s="35" t="s">
        <v>58</v>
      </c>
      <c r="L52" s="35" t="str">
        <f>CONCATENATE($K$1," - ",K52)</f>
        <v>krížová skrutka - 92590T</v>
      </c>
      <c r="M52" s="35" t="s">
        <v>62</v>
      </c>
      <c r="N52" s="35" t="str">
        <f t="shared" si="3"/>
        <v>na vrut (s excentrom) - 92594T</v>
      </c>
      <c r="O52" s="35" t="s">
        <v>63</v>
      </c>
      <c r="P52" s="35" t="str">
        <f t="shared" si="4"/>
        <v>euroskrut - 92591T</v>
      </c>
      <c r="Q52" s="35" t="s">
        <v>2122</v>
      </c>
      <c r="R52" s="35" t="str">
        <f t="shared" si="5"/>
        <v>křížová expando - N/A</v>
      </c>
      <c r="S52" s="35" t="s">
        <v>2122</v>
      </c>
      <c r="T52" s="35" t="str">
        <f t="shared" si="6"/>
        <v>priama Skrut - N/A</v>
      </c>
      <c r="U52" s="35" t="s">
        <v>2122</v>
      </c>
      <c r="V52" s="35" t="str">
        <f t="shared" si="7"/>
        <v>přímá euro - N/A</v>
      </c>
      <c r="W52" s="35" t="s">
        <v>2122</v>
      </c>
      <c r="X52" s="35" t="str">
        <f t="shared" si="8"/>
        <v>přímá hmoždinka - N/A</v>
      </c>
      <c r="Y52" s="34"/>
      <c r="Z52" s="34"/>
    </row>
    <row r="53" spans="1:26" ht="15">
      <c r="A53" s="37" t="s">
        <v>1105</v>
      </c>
      <c r="B53" s="37" t="s">
        <v>57</v>
      </c>
      <c r="C53" s="37" t="str">
        <f>'Translate&amp;Prices&amp;Logo'!B553</f>
        <v>Naložený</v>
      </c>
      <c r="D53" s="32" t="str">
        <f t="shared" si="0"/>
        <v>široký_STRONG_Naložený</v>
      </c>
      <c r="E53" s="37" t="str">
        <f>'Translate&amp;Prices&amp;Logo'!$B$583</f>
        <v>s pružinou bez tlmenia</v>
      </c>
      <c r="F53" s="34" t="str">
        <f>'Translate&amp;Prices&amp;Logo'!$B$585</f>
        <v>strieborná</v>
      </c>
      <c r="G53" s="34" t="str">
        <f t="shared" si="10"/>
        <v>198818 - Naložený s pružinou bez tlmenia - strieborná</v>
      </c>
      <c r="H53" s="35" t="s">
        <v>1103</v>
      </c>
      <c r="I53" s="35">
        <v>198818</v>
      </c>
      <c r="J53" s="35" t="s">
        <v>1103</v>
      </c>
      <c r="K53" s="35" t="s">
        <v>58</v>
      </c>
      <c r="L53" s="35" t="str">
        <f>CONCATENATE($K$1," - ",K53)</f>
        <v>krížová skrutka - 92590T</v>
      </c>
      <c r="M53" s="35" t="s">
        <v>62</v>
      </c>
      <c r="N53" s="35" t="str">
        <f t="shared" si="3"/>
        <v>na vrut (s excentrom) - 92594T</v>
      </c>
      <c r="O53" s="35" t="s">
        <v>63</v>
      </c>
      <c r="P53" s="35" t="str">
        <f t="shared" si="4"/>
        <v>euroskrut - 92591T</v>
      </c>
      <c r="Q53" s="35" t="s">
        <v>2122</v>
      </c>
      <c r="R53" s="35" t="str">
        <f t="shared" si="5"/>
        <v>křížová expando - N/A</v>
      </c>
      <c r="S53" s="35" t="s">
        <v>2122</v>
      </c>
      <c r="T53" s="35" t="str">
        <f t="shared" si="6"/>
        <v>priama Skrut - N/A</v>
      </c>
      <c r="U53" s="35" t="s">
        <v>2122</v>
      </c>
      <c r="V53" s="35" t="str">
        <f t="shared" si="7"/>
        <v>přímá euro - N/A</v>
      </c>
      <c r="W53" s="35" t="s">
        <v>2122</v>
      </c>
      <c r="X53" s="35" t="str">
        <f t="shared" si="8"/>
        <v>přímá hmoždinka - N/A</v>
      </c>
      <c r="Y53" s="34"/>
      <c r="Z53" s="34"/>
    </row>
    <row r="54" spans="1:26" ht="15">
      <c r="A54" s="34" t="s">
        <v>1105</v>
      </c>
      <c r="B54" s="34" t="s">
        <v>57</v>
      </c>
      <c r="C54" s="34" t="str">
        <f>'Translate&amp;Prices&amp;Logo'!B554</f>
        <v>Polonaložený</v>
      </c>
      <c r="D54" s="32" t="str">
        <f t="shared" si="0"/>
        <v>široký_STRONG_Polonaložený</v>
      </c>
      <c r="E54" s="34" t="str">
        <f>'Translate&amp;Prices&amp;Logo'!$B$582</f>
        <v>s pružinou a tlmením</v>
      </c>
      <c r="F54" s="34" t="str">
        <f>'Translate&amp;Prices&amp;Logo'!$B$585</f>
        <v>strieborná</v>
      </c>
      <c r="G54" s="34" t="str">
        <f t="shared" si="10"/>
        <v>92581T - Polonaložený s pružinou a tlmením - strieborná</v>
      </c>
      <c r="H54" s="35" t="s">
        <v>1103</v>
      </c>
      <c r="I54" s="35" t="s">
        <v>60</v>
      </c>
      <c r="J54" s="35" t="s">
        <v>1103</v>
      </c>
      <c r="K54" s="35" t="s">
        <v>58</v>
      </c>
      <c r="L54" s="35" t="str">
        <f>CONCATENATE($K$1," - ",K54)</f>
        <v>krížová skrutka - 92590T</v>
      </c>
      <c r="M54" s="35" t="s">
        <v>62</v>
      </c>
      <c r="N54" s="35" t="str">
        <f t="shared" si="3"/>
        <v>na vrut (s excentrom) - 92594T</v>
      </c>
      <c r="O54" s="35" t="s">
        <v>63</v>
      </c>
      <c r="P54" s="35" t="str">
        <f t="shared" si="4"/>
        <v>euroskrut - 92591T</v>
      </c>
      <c r="Q54" s="35" t="s">
        <v>2122</v>
      </c>
      <c r="R54" s="35" t="str">
        <f t="shared" si="5"/>
        <v>křížová expando - N/A</v>
      </c>
      <c r="S54" s="35" t="s">
        <v>2122</v>
      </c>
      <c r="T54" s="35" t="str">
        <f t="shared" si="6"/>
        <v>priama Skrut - N/A</v>
      </c>
      <c r="U54" s="35" t="s">
        <v>2122</v>
      </c>
      <c r="V54" s="35" t="str">
        <f t="shared" si="7"/>
        <v>přímá euro - N/A</v>
      </c>
      <c r="W54" s="35" t="s">
        <v>2122</v>
      </c>
      <c r="X54" s="35" t="str">
        <f t="shared" si="8"/>
        <v>přímá hmoždinka - N/A</v>
      </c>
      <c r="Y54" s="34"/>
      <c r="Z54" s="34"/>
    </row>
    <row r="55" spans="1:26" ht="15">
      <c r="A55" s="34" t="s">
        <v>1105</v>
      </c>
      <c r="B55" s="34" t="s">
        <v>57</v>
      </c>
      <c r="C55" s="34" t="str">
        <f>'Translate&amp;Prices&amp;Logo'!B554</f>
        <v>Polonaložený</v>
      </c>
      <c r="D55" s="32" t="str">
        <f t="shared" si="0"/>
        <v>široký_STRONG_Polonaložený</v>
      </c>
      <c r="E55" s="34" t="str">
        <f>'Translate&amp;Prices&amp;Logo'!$B$583</f>
        <v>s pružinou bez tlmenia</v>
      </c>
      <c r="F55" s="34" t="str">
        <f>'Translate&amp;Prices&amp;Logo'!$B$585</f>
        <v>strieborná</v>
      </c>
      <c r="G55" s="34" t="str">
        <f t="shared" si="10"/>
        <v>198819 - Polonaložený s pružinou bez tlmenia - strieborná</v>
      </c>
      <c r="H55" s="35" t="s">
        <v>1103</v>
      </c>
      <c r="I55" s="35">
        <v>198819</v>
      </c>
      <c r="J55" s="35" t="s">
        <v>1103</v>
      </c>
      <c r="K55" s="35" t="s">
        <v>58</v>
      </c>
      <c r="L55" s="35" t="str">
        <f>CONCATENATE($K$1," - ",K55)</f>
        <v>krížová skrutka - 92590T</v>
      </c>
      <c r="M55" s="35" t="s">
        <v>62</v>
      </c>
      <c r="N55" s="35" t="str">
        <f t="shared" si="3"/>
        <v>na vrut (s excentrom) - 92594T</v>
      </c>
      <c r="O55" s="35" t="s">
        <v>63</v>
      </c>
      <c r="P55" s="35" t="str">
        <f t="shared" si="4"/>
        <v>euroskrut - 92591T</v>
      </c>
      <c r="Q55" s="35" t="s">
        <v>2122</v>
      </c>
      <c r="R55" s="35" t="str">
        <f t="shared" si="5"/>
        <v>křížová expando - N/A</v>
      </c>
      <c r="S55" s="35" t="s">
        <v>2122</v>
      </c>
      <c r="T55" s="35" t="str">
        <f t="shared" si="6"/>
        <v>priama Skrut - N/A</v>
      </c>
      <c r="U55" s="35" t="s">
        <v>2122</v>
      </c>
      <c r="V55" s="35" t="str">
        <f t="shared" si="7"/>
        <v>přímá euro - N/A</v>
      </c>
      <c r="W55" s="35" t="s">
        <v>2122</v>
      </c>
      <c r="X55" s="35" t="str">
        <f t="shared" si="8"/>
        <v>přímá hmoždinka - N/A</v>
      </c>
      <c r="Y55" s="34"/>
      <c r="Z55" s="34"/>
    </row>
    <row r="56" spans="1:26" ht="15">
      <c r="A56" s="37" t="s">
        <v>1105</v>
      </c>
      <c r="B56" s="37" t="s">
        <v>57</v>
      </c>
      <c r="C56" s="37" t="str">
        <f>'Translate&amp;Prices&amp;Logo'!B555</f>
        <v>Vložený</v>
      </c>
      <c r="D56" s="32" t="str">
        <f t="shared" si="0"/>
        <v>široký_STRONG_Vložený</v>
      </c>
      <c r="E56" s="37" t="str">
        <f>'Translate&amp;Prices&amp;Logo'!$B$582</f>
        <v>s pružinou a tlmením</v>
      </c>
      <c r="F56" s="34" t="str">
        <f>'Translate&amp;Prices&amp;Logo'!$B$585</f>
        <v>strieborná</v>
      </c>
      <c r="G56" s="34" t="str">
        <f t="shared" si="10"/>
        <v>92582T - Vložený s pružinou a tlmením - strieborná</v>
      </c>
      <c r="H56" s="35" t="s">
        <v>1103</v>
      </c>
      <c r="I56" s="35" t="s">
        <v>61</v>
      </c>
      <c r="J56" s="35" t="s">
        <v>1103</v>
      </c>
      <c r="K56" s="35" t="s">
        <v>77</v>
      </c>
      <c r="L56" s="35" t="str">
        <f t="shared" si="2"/>
        <v>krížová skrutka - 92592T</v>
      </c>
      <c r="M56" s="35">
        <v>397954</v>
      </c>
      <c r="N56" s="35" t="str">
        <f t="shared" si="3"/>
        <v>na vrut (s excentrom) - 397954</v>
      </c>
      <c r="O56" s="35" t="s">
        <v>76</v>
      </c>
      <c r="P56" s="35" t="str">
        <f t="shared" si="4"/>
        <v>euroskrut - 92593T</v>
      </c>
      <c r="Q56" s="35" t="s">
        <v>2122</v>
      </c>
      <c r="R56" s="35" t="str">
        <f t="shared" si="5"/>
        <v>křížová expando - N/A</v>
      </c>
      <c r="S56" s="35" t="s">
        <v>2122</v>
      </c>
      <c r="T56" s="35" t="str">
        <f t="shared" si="6"/>
        <v>priama Skrut - N/A</v>
      </c>
      <c r="U56" s="35" t="s">
        <v>2122</v>
      </c>
      <c r="V56" s="35" t="str">
        <f t="shared" si="7"/>
        <v>přímá euro - N/A</v>
      </c>
      <c r="W56" s="35" t="s">
        <v>2122</v>
      </c>
      <c r="X56" s="35" t="str">
        <f t="shared" si="8"/>
        <v>přímá hmoždinka - N/A</v>
      </c>
      <c r="Y56" s="34"/>
      <c r="Z56" s="34"/>
    </row>
    <row r="57" spans="1:26" ht="15">
      <c r="A57" s="37" t="s">
        <v>1105</v>
      </c>
      <c r="B57" s="37" t="s">
        <v>57</v>
      </c>
      <c r="C57" s="37" t="str">
        <f>'Translate&amp;Prices&amp;Logo'!B555</f>
        <v>Vložený</v>
      </c>
      <c r="D57" s="32" t="str">
        <f t="shared" si="0"/>
        <v>široký_STRONG_Vložený</v>
      </c>
      <c r="E57" s="37" t="str">
        <f>'Translate&amp;Prices&amp;Logo'!$B$583</f>
        <v>s pružinou bez tlmenia</v>
      </c>
      <c r="F57" s="34" t="str">
        <f>'Translate&amp;Prices&amp;Logo'!$B$585</f>
        <v>strieborná</v>
      </c>
      <c r="G57" s="34" t="str">
        <f t="shared" si="10"/>
        <v>198820 - Vložený s pružinou bez tlmenia - strieborná</v>
      </c>
      <c r="H57" s="35" t="s">
        <v>1103</v>
      </c>
      <c r="I57" s="35">
        <v>198820</v>
      </c>
      <c r="J57" s="35" t="s">
        <v>1103</v>
      </c>
      <c r="K57" s="35" t="s">
        <v>77</v>
      </c>
      <c r="L57" s="35" t="str">
        <f t="shared" si="2"/>
        <v>krížová skrutka - 92592T</v>
      </c>
      <c r="M57" s="35">
        <v>397954</v>
      </c>
      <c r="N57" s="35" t="str">
        <f t="shared" si="3"/>
        <v>na vrut (s excentrom) - 397954</v>
      </c>
      <c r="O57" s="35" t="s">
        <v>76</v>
      </c>
      <c r="P57" s="35" t="str">
        <f t="shared" si="4"/>
        <v>euroskrut - 92593T</v>
      </c>
      <c r="Q57" s="35" t="s">
        <v>2122</v>
      </c>
      <c r="R57" s="35" t="str">
        <f t="shared" si="5"/>
        <v>křížová expando - N/A</v>
      </c>
      <c r="S57" s="35" t="s">
        <v>2122</v>
      </c>
      <c r="T57" s="35" t="str">
        <f t="shared" si="6"/>
        <v>priama Skrut - N/A</v>
      </c>
      <c r="U57" s="35" t="s">
        <v>2122</v>
      </c>
      <c r="V57" s="35" t="str">
        <f t="shared" si="7"/>
        <v>přímá euro - N/A</v>
      </c>
      <c r="W57" s="35" t="s">
        <v>2122</v>
      </c>
      <c r="X57" s="35" t="str">
        <f t="shared" si="8"/>
        <v>přímá hmoždinka - N/A</v>
      </c>
      <c r="Y57" s="34"/>
      <c r="Z57" s="34"/>
    </row>
    <row r="58" spans="1:26" ht="15">
      <c r="A58" s="34" t="s">
        <v>1105</v>
      </c>
      <c r="B58" s="34" t="s">
        <v>2352</v>
      </c>
      <c r="C58" s="34" t="str">
        <f>'Translate&amp;Prices&amp;Logo'!B553</f>
        <v>Naložený</v>
      </c>
      <c r="D58" s="32" t="str">
        <f t="shared" si="0"/>
        <v>široký_STRONGHINGES_Naložený</v>
      </c>
      <c r="E58" s="34" t="str">
        <f>'Translate&amp;Prices&amp;Logo'!$B$582</f>
        <v>s pružinou a tlmením</v>
      </c>
      <c r="F58" s="34" t="str">
        <f>'Translate&amp;Prices&amp;Logo'!$B$585</f>
        <v>strieborná</v>
      </c>
      <c r="G58" s="34" t="str">
        <f t="shared" si="10"/>
        <v>350827 - Naložený s pružinou a tlmením - strieborná</v>
      </c>
      <c r="H58" s="35" t="s">
        <v>1103</v>
      </c>
      <c r="I58" s="35">
        <v>350827</v>
      </c>
      <c r="J58" s="35" t="s">
        <v>1103</v>
      </c>
      <c r="K58" s="35">
        <v>92596</v>
      </c>
      <c r="L58" s="35" t="str">
        <f t="shared" si="2"/>
        <v>krížová skrutka - 92596</v>
      </c>
      <c r="M58" s="35">
        <v>315856</v>
      </c>
      <c r="N58" s="35" t="str">
        <f t="shared" si="3"/>
        <v>na vrut (s excentrom) - 315856</v>
      </c>
      <c r="O58" s="35">
        <v>92597</v>
      </c>
      <c r="P58" s="35" t="str">
        <f t="shared" si="4"/>
        <v>euroskrut - 92597</v>
      </c>
      <c r="Q58" s="35" t="s">
        <v>2122</v>
      </c>
      <c r="R58" s="35" t="str">
        <f t="shared" si="5"/>
        <v>křížová expando - N/A</v>
      </c>
      <c r="S58" s="35" t="s">
        <v>2122</v>
      </c>
      <c r="T58" s="35" t="str">
        <f t="shared" si="6"/>
        <v>priama Skrut - N/A</v>
      </c>
      <c r="U58" s="35" t="s">
        <v>2122</v>
      </c>
      <c r="V58" s="35" t="str">
        <f t="shared" si="7"/>
        <v>přímá euro - N/A</v>
      </c>
      <c r="W58" s="35" t="s">
        <v>2122</v>
      </c>
      <c r="X58" s="35" t="str">
        <f t="shared" si="8"/>
        <v>přímá hmoždinka - N/A</v>
      </c>
      <c r="Y58" s="34"/>
      <c r="Z58" s="34"/>
    </row>
    <row r="59" spans="1:26" ht="15">
      <c r="A59" s="34" t="s">
        <v>1105</v>
      </c>
      <c r="B59" s="34" t="s">
        <v>2352</v>
      </c>
      <c r="C59" s="34" t="str">
        <f>'Translate&amp;Prices&amp;Logo'!B553</f>
        <v>Naložený</v>
      </c>
      <c r="D59" s="32" t="str">
        <f t="shared" si="0"/>
        <v>široký_STRONGHINGES_Naložený</v>
      </c>
      <c r="E59" s="34" t="str">
        <f>'Translate&amp;Prices&amp;Logo'!$B$583</f>
        <v>s pružinou bez tlmenia</v>
      </c>
      <c r="F59" s="34" t="str">
        <f>'Translate&amp;Prices&amp;Logo'!$B$585</f>
        <v>strieborná</v>
      </c>
      <c r="G59" s="34" t="str">
        <f t="shared" si="10"/>
        <v>350834 - Naložený s pružinou bez tlmenia - strieborná</v>
      </c>
      <c r="H59" s="35" t="s">
        <v>1103</v>
      </c>
      <c r="I59" s="35">
        <v>350834</v>
      </c>
      <c r="J59" s="35" t="s">
        <v>1103</v>
      </c>
      <c r="K59" s="35">
        <v>92596</v>
      </c>
      <c r="L59" s="35" t="str">
        <f t="shared" si="2"/>
        <v>krížová skrutka - 92596</v>
      </c>
      <c r="M59" s="35">
        <v>315856</v>
      </c>
      <c r="N59" s="35" t="str">
        <f t="shared" si="3"/>
        <v>na vrut (s excentrom) - 315856</v>
      </c>
      <c r="O59" s="35">
        <v>92597</v>
      </c>
      <c r="P59" s="35" t="str">
        <f t="shared" si="4"/>
        <v>euroskrut - 92597</v>
      </c>
      <c r="Q59" s="35" t="s">
        <v>2122</v>
      </c>
      <c r="R59" s="35" t="str">
        <f t="shared" si="5"/>
        <v>křížová expando - N/A</v>
      </c>
      <c r="S59" s="35" t="s">
        <v>2122</v>
      </c>
      <c r="T59" s="35" t="str">
        <f t="shared" si="6"/>
        <v>priama Skrut - N/A</v>
      </c>
      <c r="U59" s="35" t="s">
        <v>2122</v>
      </c>
      <c r="V59" s="35" t="str">
        <f t="shared" si="7"/>
        <v>přímá euro - N/A</v>
      </c>
      <c r="W59" s="35" t="s">
        <v>2122</v>
      </c>
      <c r="X59" s="35" t="str">
        <f t="shared" si="8"/>
        <v>přímá hmoždinka - N/A</v>
      </c>
      <c r="Y59" s="34"/>
      <c r="Z59" s="34"/>
    </row>
    <row r="60" spans="1:26" ht="15">
      <c r="A60" s="34" t="s">
        <v>1105</v>
      </c>
      <c r="B60" s="34" t="s">
        <v>2352</v>
      </c>
      <c r="C60" s="34" t="str">
        <f>'Translate&amp;Prices&amp;Logo'!B553</f>
        <v>Naložený</v>
      </c>
      <c r="D60" s="32" t="str">
        <f t="shared" si="0"/>
        <v>široký_STRONGHINGES_Naložený</v>
      </c>
      <c r="E60" s="34" t="str">
        <f>'Translate&amp;Prices&amp;Logo'!$B$584</f>
        <v>tip-on bez pružiny / tlmenia</v>
      </c>
      <c r="F60" s="34" t="str">
        <f>'Translate&amp;Prices&amp;Logo'!$B$585</f>
        <v>strieborná</v>
      </c>
      <c r="G60" s="34" t="str">
        <f t="shared" si="10"/>
        <v>350837 - Naložený tip-on bez pružiny / tlmenia - strieborná</v>
      </c>
      <c r="H60" s="35" t="s">
        <v>1103</v>
      </c>
      <c r="I60" s="35">
        <v>350837</v>
      </c>
      <c r="J60" s="35" t="s">
        <v>1103</v>
      </c>
      <c r="K60" s="35">
        <v>92596</v>
      </c>
      <c r="L60" s="35" t="str">
        <f t="shared" si="2"/>
        <v>krížová skrutka - 92596</v>
      </c>
      <c r="M60" s="35">
        <v>315856</v>
      </c>
      <c r="N60" s="35" t="str">
        <f t="shared" si="3"/>
        <v>na vrut (s excentrom) - 315856</v>
      </c>
      <c r="O60" s="35">
        <v>92597</v>
      </c>
      <c r="P60" s="35" t="str">
        <f t="shared" si="4"/>
        <v>euroskrut - 92597</v>
      </c>
      <c r="Q60" s="35" t="s">
        <v>2122</v>
      </c>
      <c r="R60" s="35" t="str">
        <f t="shared" si="5"/>
        <v>křížová expando - N/A</v>
      </c>
      <c r="S60" s="35" t="s">
        <v>2122</v>
      </c>
      <c r="T60" s="35" t="str">
        <f t="shared" si="6"/>
        <v>priama Skrut - N/A</v>
      </c>
      <c r="U60" s="35" t="s">
        <v>2122</v>
      </c>
      <c r="V60" s="35" t="str">
        <f t="shared" si="7"/>
        <v>přímá euro - N/A</v>
      </c>
      <c r="W60" s="35" t="s">
        <v>2122</v>
      </c>
      <c r="X60" s="35" t="str">
        <f t="shared" si="8"/>
        <v>přímá hmoždinka - N/A</v>
      </c>
      <c r="Y60" s="34"/>
      <c r="Z60" s="34"/>
    </row>
    <row r="61" spans="1:26" ht="15">
      <c r="A61" s="37" t="s">
        <v>1105</v>
      </c>
      <c r="B61" s="34" t="s">
        <v>2352</v>
      </c>
      <c r="C61" s="37" t="str">
        <f>'Translate&amp;Prices&amp;Logo'!B554</f>
        <v>Polonaložený</v>
      </c>
      <c r="D61" s="32" t="str">
        <f t="shared" si="0"/>
        <v>široký_STRONGHINGES_Polonaložený</v>
      </c>
      <c r="E61" s="37" t="str">
        <f>'Translate&amp;Prices&amp;Logo'!$B$582</f>
        <v>s pružinou a tlmením</v>
      </c>
      <c r="F61" s="34" t="str">
        <f>'Translate&amp;Prices&amp;Logo'!$B$585</f>
        <v>strieborná</v>
      </c>
      <c r="G61" s="34" t="str">
        <f t="shared" si="10"/>
        <v>350828 - Polonaložený s pružinou a tlmením - strieborná</v>
      </c>
      <c r="H61" s="35" t="s">
        <v>1103</v>
      </c>
      <c r="I61" s="35">
        <v>350828</v>
      </c>
      <c r="J61" s="35" t="s">
        <v>1103</v>
      </c>
      <c r="K61" s="35">
        <v>92596</v>
      </c>
      <c r="L61" s="35" t="str">
        <f t="shared" si="2"/>
        <v>krížová skrutka - 92596</v>
      </c>
      <c r="M61" s="35">
        <v>315856</v>
      </c>
      <c r="N61" s="35" t="str">
        <f t="shared" si="3"/>
        <v>na vrut (s excentrom) - 315856</v>
      </c>
      <c r="O61" s="35">
        <v>92597</v>
      </c>
      <c r="P61" s="35" t="str">
        <f t="shared" si="4"/>
        <v>euroskrut - 92597</v>
      </c>
      <c r="Q61" s="35" t="s">
        <v>2122</v>
      </c>
      <c r="R61" s="35" t="str">
        <f t="shared" si="5"/>
        <v>křížová expando - N/A</v>
      </c>
      <c r="S61" s="35" t="s">
        <v>2122</v>
      </c>
      <c r="T61" s="35" t="str">
        <f t="shared" si="6"/>
        <v>priama Skrut - N/A</v>
      </c>
      <c r="U61" s="35" t="s">
        <v>2122</v>
      </c>
      <c r="V61" s="35" t="str">
        <f t="shared" si="7"/>
        <v>přímá euro - N/A</v>
      </c>
      <c r="W61" s="35" t="s">
        <v>2122</v>
      </c>
      <c r="X61" s="35" t="str">
        <f t="shared" si="8"/>
        <v>přímá hmoždinka - N/A</v>
      </c>
      <c r="Y61" s="34"/>
      <c r="Z61" s="34"/>
    </row>
    <row r="62" spans="1:26" ht="15">
      <c r="A62" s="37" t="s">
        <v>1105</v>
      </c>
      <c r="B62" s="34" t="s">
        <v>2352</v>
      </c>
      <c r="C62" s="37" t="str">
        <f>'Translate&amp;Prices&amp;Logo'!B554</f>
        <v>Polonaložený</v>
      </c>
      <c r="D62" s="32" t="str">
        <f t="shared" si="0"/>
        <v>široký_STRONGHINGES_Polonaložený</v>
      </c>
      <c r="E62" s="37" t="str">
        <f>'Translate&amp;Prices&amp;Logo'!$B$583</f>
        <v>s pružinou bez tlmenia</v>
      </c>
      <c r="F62" s="34" t="str">
        <f>'Translate&amp;Prices&amp;Logo'!$B$585</f>
        <v>strieborná</v>
      </c>
      <c r="G62" s="34" t="str">
        <f t="shared" si="10"/>
        <v>350835 - Polonaložený s pružinou bez tlmenia - strieborná</v>
      </c>
      <c r="H62" s="35" t="s">
        <v>1103</v>
      </c>
      <c r="I62" s="35">
        <v>350835</v>
      </c>
      <c r="J62" s="35" t="s">
        <v>1103</v>
      </c>
      <c r="K62" s="35">
        <v>92596</v>
      </c>
      <c r="L62" s="35" t="str">
        <f t="shared" si="2"/>
        <v>krížová skrutka - 92596</v>
      </c>
      <c r="M62" s="35">
        <v>315856</v>
      </c>
      <c r="N62" s="35" t="str">
        <f t="shared" si="3"/>
        <v>na vrut (s excentrom) - 315856</v>
      </c>
      <c r="O62" s="35">
        <v>92597</v>
      </c>
      <c r="P62" s="35" t="str">
        <f t="shared" si="4"/>
        <v>euroskrut - 92597</v>
      </c>
      <c r="Q62" s="35" t="s">
        <v>2122</v>
      </c>
      <c r="R62" s="35" t="str">
        <f t="shared" si="5"/>
        <v>křížová expando - N/A</v>
      </c>
      <c r="S62" s="35" t="s">
        <v>2122</v>
      </c>
      <c r="T62" s="35" t="str">
        <f t="shared" si="6"/>
        <v>priama Skrut - N/A</v>
      </c>
      <c r="U62" s="35" t="s">
        <v>2122</v>
      </c>
      <c r="V62" s="35" t="str">
        <f t="shared" si="7"/>
        <v>přímá euro - N/A</v>
      </c>
      <c r="W62" s="35" t="s">
        <v>2122</v>
      </c>
      <c r="X62" s="35" t="str">
        <f t="shared" si="8"/>
        <v>přímá hmoždinka - N/A</v>
      </c>
      <c r="Y62" s="34"/>
      <c r="Z62" s="34"/>
    </row>
    <row r="63" spans="1:26" ht="15">
      <c r="A63" s="37" t="s">
        <v>1105</v>
      </c>
      <c r="B63" s="34" t="s">
        <v>2352</v>
      </c>
      <c r="C63" s="37" t="str">
        <f>'Translate&amp;Prices&amp;Logo'!B554</f>
        <v>Polonaložený</v>
      </c>
      <c r="D63" s="32" t="str">
        <f t="shared" si="0"/>
        <v>široký_STRONGHINGES_Polonaložený</v>
      </c>
      <c r="E63" s="37" t="str">
        <f>'Translate&amp;Prices&amp;Logo'!$B$584</f>
        <v>tip-on bez pružiny / tlmenia</v>
      </c>
      <c r="F63" s="34" t="str">
        <f>'Translate&amp;Prices&amp;Logo'!$B$585</f>
        <v>strieborná</v>
      </c>
      <c r="G63" s="34" t="str">
        <f t="shared" si="10"/>
        <v>350838 - Polonaložený tip-on bez pružiny / tlmenia - strieborná</v>
      </c>
      <c r="H63" s="35" t="s">
        <v>1103</v>
      </c>
      <c r="I63" s="35">
        <v>350838</v>
      </c>
      <c r="J63" s="35" t="s">
        <v>1103</v>
      </c>
      <c r="K63" s="35">
        <v>92596</v>
      </c>
      <c r="L63" s="35" t="str">
        <f t="shared" si="2"/>
        <v>krížová skrutka - 92596</v>
      </c>
      <c r="M63" s="35">
        <v>315856</v>
      </c>
      <c r="N63" s="35" t="str">
        <f t="shared" si="3"/>
        <v>na vrut (s excentrom) - 315856</v>
      </c>
      <c r="O63" s="35">
        <v>92597</v>
      </c>
      <c r="P63" s="35" t="str">
        <f t="shared" si="4"/>
        <v>euroskrut - 92597</v>
      </c>
      <c r="Q63" s="35" t="s">
        <v>2122</v>
      </c>
      <c r="R63" s="35" t="str">
        <f t="shared" si="5"/>
        <v>křížová expando - N/A</v>
      </c>
      <c r="S63" s="35" t="s">
        <v>2122</v>
      </c>
      <c r="T63" s="35" t="str">
        <f t="shared" si="6"/>
        <v>priama Skrut - N/A</v>
      </c>
      <c r="U63" s="35" t="s">
        <v>2122</v>
      </c>
      <c r="V63" s="35" t="str">
        <f t="shared" si="7"/>
        <v>přímá euro - N/A</v>
      </c>
      <c r="W63" s="35" t="s">
        <v>2122</v>
      </c>
      <c r="X63" s="35" t="str">
        <f t="shared" si="8"/>
        <v>přímá hmoždinka - N/A</v>
      </c>
      <c r="Y63" s="34"/>
      <c r="Z63" s="34"/>
    </row>
    <row r="64" spans="1:26" ht="15">
      <c r="A64" s="34" t="s">
        <v>1105</v>
      </c>
      <c r="B64" s="34" t="s">
        <v>2352</v>
      </c>
      <c r="C64" s="34" t="str">
        <f>'Translate&amp;Prices&amp;Logo'!B555</f>
        <v>Vložený</v>
      </c>
      <c r="D64" s="32" t="str">
        <f t="shared" si="0"/>
        <v>široký_STRONGHINGES_Vložený</v>
      </c>
      <c r="E64" s="34" t="str">
        <f>'Translate&amp;Prices&amp;Logo'!$B$582</f>
        <v>s pružinou a tlmením</v>
      </c>
      <c r="F64" s="34" t="str">
        <f>'Translate&amp;Prices&amp;Logo'!$B$585</f>
        <v>strieborná</v>
      </c>
      <c r="G64" s="34" t="str">
        <f t="shared" si="10"/>
        <v>350829 - Vložený s pružinou a tlmením - strieborná</v>
      </c>
      <c r="H64" s="35" t="s">
        <v>1103</v>
      </c>
      <c r="I64" s="35">
        <v>350829</v>
      </c>
      <c r="J64" s="35" t="s">
        <v>1103</v>
      </c>
      <c r="K64" s="35">
        <v>92598</v>
      </c>
      <c r="L64" s="35" t="str">
        <f t="shared" si="2"/>
        <v>krížová skrutka - 92598</v>
      </c>
      <c r="M64" s="35">
        <v>350868</v>
      </c>
      <c r="N64" s="35" t="str">
        <f t="shared" si="3"/>
        <v>na vrut (s excentrom) - 350868</v>
      </c>
      <c r="O64" s="35">
        <v>92599</v>
      </c>
      <c r="P64" s="35" t="str">
        <f t="shared" si="4"/>
        <v>euroskrut - 92599</v>
      </c>
      <c r="Q64" s="35" t="s">
        <v>2122</v>
      </c>
      <c r="R64" s="35" t="str">
        <f t="shared" si="5"/>
        <v>křížová expando - N/A</v>
      </c>
      <c r="S64" s="35" t="s">
        <v>2122</v>
      </c>
      <c r="T64" s="35" t="str">
        <f t="shared" si="6"/>
        <v>priama Skrut - N/A</v>
      </c>
      <c r="U64" s="35" t="s">
        <v>2122</v>
      </c>
      <c r="V64" s="35" t="str">
        <f t="shared" si="7"/>
        <v>přímá euro - N/A</v>
      </c>
      <c r="W64" s="35" t="s">
        <v>2122</v>
      </c>
      <c r="X64" s="35" t="str">
        <f t="shared" si="8"/>
        <v>přímá hmoždinka - N/A</v>
      </c>
      <c r="Y64" s="34"/>
      <c r="Z64" s="34"/>
    </row>
    <row r="65" spans="1:26" ht="15">
      <c r="A65" s="34" t="s">
        <v>1105</v>
      </c>
      <c r="B65" s="34" t="s">
        <v>2352</v>
      </c>
      <c r="C65" s="34" t="str">
        <f>'Translate&amp;Prices&amp;Logo'!B555</f>
        <v>Vložený</v>
      </c>
      <c r="D65" s="32" t="str">
        <f t="shared" si="0"/>
        <v>široký_STRONGHINGES_Vložený</v>
      </c>
      <c r="E65" s="34" t="str">
        <f>'Translate&amp;Prices&amp;Logo'!$B$583</f>
        <v>s pružinou bez tlmenia</v>
      </c>
      <c r="F65" s="34" t="str">
        <f>'Translate&amp;Prices&amp;Logo'!$B$585</f>
        <v>strieborná</v>
      </c>
      <c r="G65" s="34" t="str">
        <f t="shared" si="10"/>
        <v>350836 - Vložený s pružinou bez tlmenia - strieborná</v>
      </c>
      <c r="H65" s="35" t="s">
        <v>1103</v>
      </c>
      <c r="I65" s="35">
        <v>350836</v>
      </c>
      <c r="J65" s="35" t="s">
        <v>1103</v>
      </c>
      <c r="K65" s="35">
        <v>92598</v>
      </c>
      <c r="L65" s="35" t="str">
        <f t="shared" si="2"/>
        <v>krížová skrutka - 92598</v>
      </c>
      <c r="M65" s="35">
        <v>350868</v>
      </c>
      <c r="N65" s="35" t="str">
        <f t="shared" si="3"/>
        <v>na vrut (s excentrom) - 350868</v>
      </c>
      <c r="O65" s="35">
        <v>92599</v>
      </c>
      <c r="P65" s="35" t="str">
        <f t="shared" si="4"/>
        <v>euroskrut - 92599</v>
      </c>
      <c r="Q65" s="35" t="s">
        <v>2122</v>
      </c>
      <c r="R65" s="35" t="str">
        <f t="shared" si="5"/>
        <v>křížová expando - N/A</v>
      </c>
      <c r="S65" s="35" t="s">
        <v>2122</v>
      </c>
      <c r="T65" s="35" t="str">
        <f t="shared" si="6"/>
        <v>priama Skrut - N/A</v>
      </c>
      <c r="U65" s="35" t="s">
        <v>2122</v>
      </c>
      <c r="V65" s="35" t="str">
        <f t="shared" si="7"/>
        <v>přímá euro - N/A</v>
      </c>
      <c r="W65" s="35" t="s">
        <v>2122</v>
      </c>
      <c r="X65" s="35" t="str">
        <f t="shared" si="8"/>
        <v>přímá hmoždinka - N/A</v>
      </c>
      <c r="Y65" s="34"/>
      <c r="Z65" s="34"/>
    </row>
    <row r="66" spans="1:26" ht="15">
      <c r="A66" s="34" t="s">
        <v>1105</v>
      </c>
      <c r="B66" s="34" t="s">
        <v>2352</v>
      </c>
      <c r="C66" s="34" t="str">
        <f>'Translate&amp;Prices&amp;Logo'!B555</f>
        <v>Vložený</v>
      </c>
      <c r="D66" s="32" t="str">
        <f t="shared" si="0"/>
        <v>široký_STRONGHINGES_Vložený</v>
      </c>
      <c r="E66" s="34" t="str">
        <f>'Translate&amp;Prices&amp;Logo'!$B$584</f>
        <v>tip-on bez pružiny / tlmenia</v>
      </c>
      <c r="F66" s="34" t="str">
        <f>'Translate&amp;Prices&amp;Logo'!$B$585</f>
        <v>strieborná</v>
      </c>
      <c r="G66" s="34" t="str">
        <f t="shared" si="10"/>
        <v>350839 - Vložený tip-on bez pružiny / tlmenia - strieborná</v>
      </c>
      <c r="H66" s="35" t="s">
        <v>1103</v>
      </c>
      <c r="I66" s="35">
        <v>350839</v>
      </c>
      <c r="J66" s="35" t="s">
        <v>1103</v>
      </c>
      <c r="K66" s="35">
        <v>92598</v>
      </c>
      <c r="L66" s="35" t="str">
        <f t="shared" si="2"/>
        <v>krížová skrutka - 92598</v>
      </c>
      <c r="M66" s="35">
        <v>350868</v>
      </c>
      <c r="N66" s="35" t="str">
        <f t="shared" si="3"/>
        <v>na vrut (s excentrom) - 350868</v>
      </c>
      <c r="O66" s="35">
        <v>92599</v>
      </c>
      <c r="P66" s="35" t="str">
        <f t="shared" si="4"/>
        <v>euroskrut - 92599</v>
      </c>
      <c r="Q66" s="35" t="s">
        <v>2122</v>
      </c>
      <c r="R66" s="35" t="str">
        <f t="shared" si="5"/>
        <v>křížová expando - N/A</v>
      </c>
      <c r="S66" s="35" t="s">
        <v>2122</v>
      </c>
      <c r="T66" s="35" t="str">
        <f t="shared" si="6"/>
        <v>priama Skrut - N/A</v>
      </c>
      <c r="U66" s="35" t="s">
        <v>2122</v>
      </c>
      <c r="V66" s="35" t="str">
        <f t="shared" si="7"/>
        <v>přímá euro - N/A</v>
      </c>
      <c r="W66" s="35" t="s">
        <v>2122</v>
      </c>
      <c r="X66" s="35" t="str">
        <f t="shared" si="8"/>
        <v>přímá hmoždinka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2177</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2353</v>
      </c>
      <c r="B88" s="37" t="s">
        <v>2353</v>
      </c>
      <c r="C88" s="34" t="s">
        <v>113</v>
      </c>
    </row>
    <row r="89" spans="1:7" ht="16.350000000000001" customHeight="1">
      <c r="A89" s="37" t="s">
        <v>2353</v>
      </c>
      <c r="B89" s="37" t="s">
        <v>2353</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2354</v>
      </c>
      <c r="B123" s="37" t="s">
        <v>2354</v>
      </c>
      <c r="C123" s="34" t="s">
        <v>113</v>
      </c>
    </row>
    <row r="124" spans="1:3" ht="16.350000000000001" customHeight="1">
      <c r="A124" s="37" t="s">
        <v>2354</v>
      </c>
      <c r="B124" s="37" t="s">
        <v>2354</v>
      </c>
      <c r="C124" s="34" t="s">
        <v>113</v>
      </c>
    </row>
    <row r="125" spans="1:3" ht="16.350000000000001" customHeight="1">
      <c r="A125" s="37" t="s">
        <v>2354</v>
      </c>
      <c r="B125" s="37" t="s">
        <v>2354</v>
      </c>
      <c r="C125" s="34" t="s">
        <v>113</v>
      </c>
    </row>
    <row r="126" spans="1:3" ht="16.350000000000001" customHeight="1">
      <c r="A126" s="37" t="s">
        <v>2355</v>
      </c>
      <c r="B126" s="37" t="s">
        <v>2355</v>
      </c>
      <c r="C126" s="34" t="s">
        <v>113</v>
      </c>
    </row>
    <row r="127" spans="1:3" ht="16.350000000000001" customHeight="1">
      <c r="A127" s="37" t="s">
        <v>2355</v>
      </c>
      <c r="B127" s="37" t="s">
        <v>2355</v>
      </c>
      <c r="C127" s="34" t="s">
        <v>113</v>
      </c>
    </row>
    <row r="128" spans="1:3" ht="16.350000000000001" customHeight="1">
      <c r="A128" s="37" t="s">
        <v>2355</v>
      </c>
      <c r="B128" s="37" t="s">
        <v>2355</v>
      </c>
      <c r="C128" s="34" t="s">
        <v>113</v>
      </c>
    </row>
    <row r="129" spans="1:3" ht="16.350000000000001" customHeight="1">
      <c r="A129" s="37" t="s">
        <v>2356</v>
      </c>
      <c r="B129" s="37" t="s">
        <v>2356</v>
      </c>
      <c r="C129" s="34" t="s">
        <v>113</v>
      </c>
    </row>
    <row r="130" spans="1:3" ht="16.350000000000001" customHeight="1">
      <c r="A130" s="37" t="s">
        <v>2356</v>
      </c>
      <c r="B130" s="37" t="s">
        <v>2356</v>
      </c>
      <c r="C130" s="34" t="s">
        <v>113</v>
      </c>
    </row>
    <row r="131" spans="1:3" ht="16.350000000000001" customHeight="1">
      <c r="A131" s="37" t="s">
        <v>2356</v>
      </c>
      <c r="B131" s="37" t="s">
        <v>2356</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2353</v>
      </c>
      <c r="B151" s="34" t="s">
        <v>2353</v>
      </c>
      <c r="C151" s="34" t="s">
        <v>114</v>
      </c>
    </row>
    <row r="152" spans="1:3" ht="16.350000000000001" customHeight="1">
      <c r="A152" s="34" t="s">
        <v>2353</v>
      </c>
      <c r="B152" s="34" t="s">
        <v>2353</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2354</v>
      </c>
      <c r="B186" s="34" t="s">
        <v>2354</v>
      </c>
      <c r="C186" s="34" t="s">
        <v>114</v>
      </c>
    </row>
    <row r="187" spans="1:3" ht="16.350000000000001" customHeight="1">
      <c r="A187" s="34" t="s">
        <v>2354</v>
      </c>
      <c r="B187" s="34" t="s">
        <v>2354</v>
      </c>
      <c r="C187" s="34" t="s">
        <v>114</v>
      </c>
    </row>
    <row r="188" spans="1:3" ht="16.350000000000001" customHeight="1">
      <c r="A188" s="34" t="s">
        <v>2354</v>
      </c>
      <c r="B188" s="34" t="s">
        <v>2354</v>
      </c>
      <c r="C188" s="34" t="s">
        <v>114</v>
      </c>
    </row>
    <row r="189" spans="1:3" ht="16.350000000000001" customHeight="1">
      <c r="A189" s="34" t="s">
        <v>2355</v>
      </c>
      <c r="B189" s="34" t="s">
        <v>2355</v>
      </c>
      <c r="C189" s="34" t="s">
        <v>114</v>
      </c>
    </row>
    <row r="190" spans="1:3" ht="16.350000000000001" customHeight="1">
      <c r="A190" s="34" t="s">
        <v>2355</v>
      </c>
      <c r="B190" s="34" t="s">
        <v>2355</v>
      </c>
      <c r="C190" s="34" t="s">
        <v>114</v>
      </c>
    </row>
    <row r="191" spans="1:3" ht="16.350000000000001" customHeight="1">
      <c r="A191" s="34" t="s">
        <v>2355</v>
      </c>
      <c r="B191" s="34" t="s">
        <v>2355</v>
      </c>
      <c r="C191" s="34" t="s">
        <v>114</v>
      </c>
    </row>
    <row r="192" spans="1:3" ht="16.350000000000001" customHeight="1">
      <c r="A192" s="34" t="s">
        <v>2356</v>
      </c>
      <c r="B192" s="34" t="s">
        <v>2356</v>
      </c>
      <c r="C192" s="34" t="s">
        <v>114</v>
      </c>
    </row>
    <row r="193" spans="1:3" ht="16.350000000000001" customHeight="1">
      <c r="A193" s="34" t="s">
        <v>2356</v>
      </c>
      <c r="B193" s="34" t="s">
        <v>2356</v>
      </c>
      <c r="C193" s="34" t="s">
        <v>114</v>
      </c>
    </row>
    <row r="194" spans="1:3" ht="16.350000000000001" customHeight="1">
      <c r="A194" s="34" t="s">
        <v>2356</v>
      </c>
      <c r="B194" s="34" t="s">
        <v>2356</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2357</v>
      </c>
      <c r="B249" s="34" t="s">
        <v>2354</v>
      </c>
      <c r="C249" s="34" t="s">
        <v>74</v>
      </c>
    </row>
    <row r="250" spans="1:3" ht="16.350000000000001" customHeight="1">
      <c r="A250" s="37" t="s">
        <v>2357</v>
      </c>
      <c r="B250" s="34" t="s">
        <v>2354</v>
      </c>
      <c r="C250" s="34" t="s">
        <v>74</v>
      </c>
    </row>
    <row r="251" spans="1:3" ht="16.350000000000001" customHeight="1">
      <c r="A251" s="37" t="s">
        <v>2357</v>
      </c>
      <c r="B251" s="34" t="s">
        <v>2354</v>
      </c>
      <c r="C251" s="34" t="s">
        <v>74</v>
      </c>
    </row>
    <row r="252" spans="1:3" ht="16.350000000000001" customHeight="1">
      <c r="A252" s="37" t="s">
        <v>2358</v>
      </c>
      <c r="B252" s="34" t="s">
        <v>2355</v>
      </c>
      <c r="C252" s="34" t="s">
        <v>74</v>
      </c>
    </row>
    <row r="253" spans="1:3" ht="16.350000000000001" customHeight="1">
      <c r="A253" s="37" t="s">
        <v>2358</v>
      </c>
      <c r="B253" s="34" t="s">
        <v>2355</v>
      </c>
      <c r="C253" s="34" t="s">
        <v>74</v>
      </c>
    </row>
    <row r="254" spans="1:3" ht="16.350000000000001" customHeight="1">
      <c r="A254" s="37" t="s">
        <v>2358</v>
      </c>
      <c r="B254" s="34" t="s">
        <v>2355</v>
      </c>
      <c r="C254" s="34" t="s">
        <v>74</v>
      </c>
    </row>
    <row r="255" spans="1:3" ht="16.350000000000001" customHeight="1">
      <c r="A255" s="37" t="s">
        <v>2359</v>
      </c>
      <c r="B255" s="34" t="s">
        <v>2356</v>
      </c>
      <c r="C255" s="34" t="s">
        <v>74</v>
      </c>
    </row>
    <row r="256" spans="1:3" ht="16.350000000000001" customHeight="1">
      <c r="A256" s="37" t="s">
        <v>2359</v>
      </c>
      <c r="B256" s="34" t="s">
        <v>2356</v>
      </c>
      <c r="C256" s="34" t="s">
        <v>74</v>
      </c>
    </row>
    <row r="257" spans="1:4" ht="16.350000000000001" customHeight="1">
      <c r="A257" s="37" t="s">
        <v>2359</v>
      </c>
      <c r="B257" s="34" t="s">
        <v>2356</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2203</v>
      </c>
      <c r="B262" s="34" t="s">
        <v>1164</v>
      </c>
      <c r="C262" s="34" t="s">
        <v>75</v>
      </c>
    </row>
    <row r="263" spans="1:4" ht="16.350000000000001" customHeight="1">
      <c r="A263" s="34" t="s">
        <v>2203</v>
      </c>
      <c r="B263" s="34" t="s">
        <v>1164</v>
      </c>
      <c r="C263" s="34" t="s">
        <v>75</v>
      </c>
    </row>
    <row r="264" spans="1:4" ht="16.350000000000001" customHeight="1">
      <c r="A264" s="34" t="s">
        <v>2208</v>
      </c>
      <c r="B264" s="34" t="s">
        <v>1165</v>
      </c>
      <c r="C264" s="34" t="s">
        <v>75</v>
      </c>
    </row>
    <row r="265" spans="1:4" ht="16.350000000000001" customHeight="1">
      <c r="A265" s="34" t="s">
        <v>2208</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2204</v>
      </c>
      <c r="B270" s="34" t="s">
        <v>1167</v>
      </c>
      <c r="C270" s="34" t="s">
        <v>75</v>
      </c>
    </row>
    <row r="271" spans="1:4" ht="16.350000000000001" customHeight="1">
      <c r="A271" s="34" t="s">
        <v>2204</v>
      </c>
      <c r="B271" s="34" t="s">
        <v>1167</v>
      </c>
      <c r="C271" s="34" t="s">
        <v>75</v>
      </c>
    </row>
    <row r="272" spans="1:4" ht="16.350000000000001" customHeight="1">
      <c r="A272" s="34" t="s">
        <v>2204</v>
      </c>
      <c r="B272" s="34" t="s">
        <v>1167</v>
      </c>
      <c r="C272" s="34" t="s">
        <v>75</v>
      </c>
    </row>
    <row r="273" spans="1:3" ht="16.350000000000001" customHeight="1">
      <c r="A273" s="34" t="s">
        <v>2209</v>
      </c>
      <c r="B273" s="34" t="s">
        <v>1168</v>
      </c>
      <c r="C273" s="34" t="s">
        <v>75</v>
      </c>
    </row>
    <row r="274" spans="1:3" ht="16.350000000000001" customHeight="1">
      <c r="A274" s="34" t="s">
        <v>2209</v>
      </c>
      <c r="B274" s="34" t="s">
        <v>1168</v>
      </c>
      <c r="C274" s="34" t="s">
        <v>75</v>
      </c>
    </row>
    <row r="275" spans="1:3" ht="16.350000000000001" customHeight="1">
      <c r="A275" s="34" t="s">
        <v>2209</v>
      </c>
      <c r="B275" s="34" t="s">
        <v>1168</v>
      </c>
      <c r="C275" s="34" t="s">
        <v>75</v>
      </c>
    </row>
    <row r="276" spans="1:3" ht="16.350000000000001" customHeight="1">
      <c r="A276" s="34" t="s">
        <v>1191</v>
      </c>
      <c r="B276" s="34" t="s">
        <v>1169</v>
      </c>
      <c r="C276" s="34" t="s">
        <v>75</v>
      </c>
    </row>
    <row r="277" spans="1:3" ht="16.350000000000001" customHeight="1">
      <c r="A277" s="34" t="s">
        <v>2360</v>
      </c>
      <c r="B277" s="34" t="s">
        <v>2353</v>
      </c>
      <c r="C277" s="34" t="s">
        <v>75</v>
      </c>
    </row>
    <row r="278" spans="1:3" ht="16.350000000000001" customHeight="1">
      <c r="A278" s="34" t="s">
        <v>2360</v>
      </c>
      <c r="B278" s="34" t="s">
        <v>2353</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2205</v>
      </c>
      <c r="B283" s="34" t="s">
        <v>1172</v>
      </c>
      <c r="C283" s="34" t="s">
        <v>75</v>
      </c>
    </row>
    <row r="284" spans="1:3" ht="16.350000000000001" customHeight="1">
      <c r="A284" s="34" t="s">
        <v>2205</v>
      </c>
      <c r="B284" s="34" t="s">
        <v>1172</v>
      </c>
      <c r="C284" s="34" t="s">
        <v>75</v>
      </c>
    </row>
    <row r="285" spans="1:3" ht="16.350000000000001" customHeight="1">
      <c r="A285" s="34" t="s">
        <v>2205</v>
      </c>
      <c r="B285" s="34" t="s">
        <v>1172</v>
      </c>
      <c r="C285" s="34" t="s">
        <v>75</v>
      </c>
    </row>
    <row r="286" spans="1:3" ht="16.350000000000001" customHeight="1">
      <c r="A286" s="34" t="s">
        <v>2205</v>
      </c>
      <c r="B286" s="34" t="s">
        <v>1172</v>
      </c>
      <c r="C286" s="34" t="s">
        <v>75</v>
      </c>
    </row>
    <row r="287" spans="1:3" ht="16.350000000000001" customHeight="1">
      <c r="A287" s="34" t="s">
        <v>2210</v>
      </c>
      <c r="B287" s="34" t="s">
        <v>1173</v>
      </c>
      <c r="C287" s="34" t="s">
        <v>75</v>
      </c>
    </row>
    <row r="288" spans="1:3" ht="16.350000000000001" customHeight="1">
      <c r="A288" s="34" t="s">
        <v>2210</v>
      </c>
      <c r="B288" s="34" t="s">
        <v>1173</v>
      </c>
      <c r="C288" s="34" t="s">
        <v>75</v>
      </c>
    </row>
    <row r="289" spans="1:3" ht="16.350000000000001" customHeight="1">
      <c r="A289" s="34" t="s">
        <v>2210</v>
      </c>
      <c r="B289" s="34" t="s">
        <v>1173</v>
      </c>
      <c r="C289" s="34" t="s">
        <v>75</v>
      </c>
    </row>
    <row r="290" spans="1:3" ht="16.350000000000001" customHeight="1">
      <c r="A290" s="34" t="s">
        <v>2210</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2206</v>
      </c>
      <c r="B296" s="34" t="s">
        <v>1175</v>
      </c>
      <c r="C296" s="34" t="s">
        <v>75</v>
      </c>
    </row>
    <row r="297" spans="1:3" ht="16.350000000000001" customHeight="1">
      <c r="A297" s="34" t="s">
        <v>2206</v>
      </c>
      <c r="B297" s="34" t="s">
        <v>1175</v>
      </c>
      <c r="C297" s="34" t="s">
        <v>75</v>
      </c>
    </row>
    <row r="298" spans="1:3" ht="16.350000000000001" customHeight="1">
      <c r="A298" s="34" t="s">
        <v>2206</v>
      </c>
      <c r="B298" s="34" t="s">
        <v>1175</v>
      </c>
      <c r="C298" s="34" t="s">
        <v>75</v>
      </c>
    </row>
    <row r="299" spans="1:3" ht="16.350000000000001" customHeight="1">
      <c r="A299" s="34" t="s">
        <v>2206</v>
      </c>
      <c r="B299" s="34" t="s">
        <v>1175</v>
      </c>
      <c r="C299" s="34" t="s">
        <v>75</v>
      </c>
    </row>
    <row r="300" spans="1:3" ht="16.350000000000001" customHeight="1">
      <c r="A300" s="34" t="s">
        <v>2206</v>
      </c>
      <c r="B300" s="34" t="s">
        <v>1175</v>
      </c>
      <c r="C300" s="34" t="s">
        <v>75</v>
      </c>
    </row>
    <row r="301" spans="1:3" ht="16.350000000000001" customHeight="1">
      <c r="A301" s="34" t="s">
        <v>2211</v>
      </c>
      <c r="B301" s="34" t="s">
        <v>1176</v>
      </c>
      <c r="C301" s="34" t="s">
        <v>75</v>
      </c>
    </row>
    <row r="302" spans="1:3" ht="16.350000000000001" customHeight="1">
      <c r="A302" s="34" t="s">
        <v>2211</v>
      </c>
      <c r="B302" s="34" t="s">
        <v>1176</v>
      </c>
      <c r="C302" s="34" t="s">
        <v>75</v>
      </c>
    </row>
    <row r="303" spans="1:3" ht="16.350000000000001" customHeight="1">
      <c r="A303" s="34" t="s">
        <v>2211</v>
      </c>
      <c r="B303" s="34" t="s">
        <v>1176</v>
      </c>
      <c r="C303" s="34" t="s">
        <v>75</v>
      </c>
    </row>
    <row r="304" spans="1:3" ht="16.350000000000001" customHeight="1">
      <c r="A304" s="34" t="s">
        <v>2211</v>
      </c>
      <c r="B304" s="34" t="s">
        <v>1176</v>
      </c>
      <c r="C304" s="34" t="s">
        <v>75</v>
      </c>
    </row>
    <row r="305" spans="1:3" ht="16.350000000000001" customHeight="1">
      <c r="A305" s="34" t="s">
        <v>2211</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2207</v>
      </c>
      <c r="B308" s="34" t="s">
        <v>1178</v>
      </c>
      <c r="C308" s="34" t="s">
        <v>75</v>
      </c>
    </row>
    <row r="309" spans="1:3" ht="16.350000000000001" customHeight="1">
      <c r="A309" s="34" t="s">
        <v>2207</v>
      </c>
      <c r="B309" s="34" t="s">
        <v>1178</v>
      </c>
      <c r="C309" s="34" t="s">
        <v>75</v>
      </c>
    </row>
    <row r="310" spans="1:3" ht="16.350000000000001" customHeight="1">
      <c r="A310" s="34" t="s">
        <v>2212</v>
      </c>
      <c r="B310" s="34" t="s">
        <v>1179</v>
      </c>
      <c r="C310" s="34" t="s">
        <v>75</v>
      </c>
    </row>
    <row r="311" spans="1:3" ht="16.350000000000001" customHeight="1">
      <c r="A311" s="34" t="s">
        <v>2212</v>
      </c>
      <c r="B311" s="34" t="s">
        <v>1179</v>
      </c>
      <c r="C311" s="34" t="s">
        <v>75</v>
      </c>
    </row>
    <row r="312" spans="1:3" ht="16.350000000000001" customHeight="1">
      <c r="A312" s="34" t="s">
        <v>2361</v>
      </c>
      <c r="B312" s="34" t="s">
        <v>2354</v>
      </c>
      <c r="C312" s="34" t="s">
        <v>75</v>
      </c>
    </row>
    <row r="313" spans="1:3" ht="16.350000000000001" customHeight="1">
      <c r="A313" s="34" t="s">
        <v>2361</v>
      </c>
      <c r="B313" s="34" t="s">
        <v>2354</v>
      </c>
      <c r="C313" s="34" t="s">
        <v>75</v>
      </c>
    </row>
    <row r="314" spans="1:3" ht="16.350000000000001" customHeight="1">
      <c r="A314" s="34" t="s">
        <v>2361</v>
      </c>
      <c r="B314" s="34" t="s">
        <v>2354</v>
      </c>
      <c r="C314" s="34" t="s">
        <v>75</v>
      </c>
    </row>
    <row r="315" spans="1:3" ht="16.350000000000001" customHeight="1">
      <c r="A315" s="34" t="s">
        <v>2362</v>
      </c>
      <c r="B315" s="34" t="s">
        <v>2355</v>
      </c>
      <c r="C315" s="34" t="s">
        <v>75</v>
      </c>
    </row>
    <row r="316" spans="1:3" ht="16.350000000000001" customHeight="1">
      <c r="A316" s="34" t="s">
        <v>2362</v>
      </c>
      <c r="B316" s="34" t="s">
        <v>2355</v>
      </c>
      <c r="C316" s="34" t="s">
        <v>75</v>
      </c>
    </row>
    <row r="317" spans="1:3" ht="16.350000000000001" customHeight="1">
      <c r="A317" s="34" t="s">
        <v>2362</v>
      </c>
      <c r="B317" s="34" t="s">
        <v>2355</v>
      </c>
      <c r="C317" s="34" t="s">
        <v>75</v>
      </c>
    </row>
    <row r="318" spans="1:3" ht="16.350000000000001" customHeight="1">
      <c r="A318" s="34" t="s">
        <v>2363</v>
      </c>
      <c r="B318" s="34" t="s">
        <v>2356</v>
      </c>
      <c r="C318" s="34" t="s">
        <v>75</v>
      </c>
    </row>
    <row r="319" spans="1:3" ht="16.350000000000001" customHeight="1">
      <c r="A319" s="34" t="s">
        <v>2363</v>
      </c>
      <c r="B319" s="34" t="s">
        <v>2356</v>
      </c>
      <c r="C319" s="34" t="s">
        <v>75</v>
      </c>
    </row>
    <row r="320" spans="1:3" ht="16.350000000000001" customHeight="1">
      <c r="A320" s="34" t="s">
        <v>2363</v>
      </c>
      <c r="B320" s="34" t="s">
        <v>2356</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2364</v>
      </c>
      <c r="B340" s="34" t="s">
        <v>2353</v>
      </c>
      <c r="C340" s="34" t="s">
        <v>1578</v>
      </c>
    </row>
    <row r="341" spans="1:3" ht="16.350000000000001" customHeight="1">
      <c r="A341" s="34" t="s">
        <v>2364</v>
      </c>
      <c r="B341" s="34" t="s">
        <v>2353</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2365</v>
      </c>
      <c r="B375" s="34" t="s">
        <v>2354</v>
      </c>
      <c r="C375" s="34" t="s">
        <v>1578</v>
      </c>
    </row>
    <row r="376" spans="1:3" ht="16.350000000000001" customHeight="1">
      <c r="A376" s="34" t="s">
        <v>2365</v>
      </c>
      <c r="B376" s="34" t="s">
        <v>2354</v>
      </c>
      <c r="C376" s="34" t="s">
        <v>1578</v>
      </c>
    </row>
    <row r="377" spans="1:3" ht="16.350000000000001" customHeight="1">
      <c r="A377" s="34" t="s">
        <v>2365</v>
      </c>
      <c r="B377" s="34" t="s">
        <v>2354</v>
      </c>
      <c r="C377" s="34" t="s">
        <v>1578</v>
      </c>
    </row>
    <row r="378" spans="1:3" ht="16.350000000000001" customHeight="1">
      <c r="A378" s="34" t="s">
        <v>2366</v>
      </c>
      <c r="B378" s="34" t="s">
        <v>2355</v>
      </c>
      <c r="C378" s="34" t="s">
        <v>1578</v>
      </c>
    </row>
    <row r="379" spans="1:3" ht="16.350000000000001" customHeight="1">
      <c r="A379" s="34" t="s">
        <v>2366</v>
      </c>
      <c r="B379" s="34" t="s">
        <v>2355</v>
      </c>
      <c r="C379" s="34" t="s">
        <v>1578</v>
      </c>
    </row>
    <row r="380" spans="1:3" ht="16.350000000000001" customHeight="1">
      <c r="A380" s="34" t="s">
        <v>2366</v>
      </c>
      <c r="B380" s="34" t="s">
        <v>2355</v>
      </c>
      <c r="C380" s="34" t="s">
        <v>1578</v>
      </c>
    </row>
    <row r="381" spans="1:3" ht="16.350000000000001" customHeight="1">
      <c r="A381" s="34" t="s">
        <v>2367</v>
      </c>
      <c r="B381" s="34" t="s">
        <v>2356</v>
      </c>
      <c r="C381" s="34" t="s">
        <v>1578</v>
      </c>
    </row>
    <row r="382" spans="1:3" ht="16.350000000000001" customHeight="1">
      <c r="A382" s="34" t="s">
        <v>2367</v>
      </c>
      <c r="B382" s="34" t="s">
        <v>2356</v>
      </c>
      <c r="C382" s="34" t="s">
        <v>1578</v>
      </c>
    </row>
    <row r="383" spans="1:3" ht="16.350000000000001" customHeight="1">
      <c r="A383" s="34" t="s">
        <v>2367</v>
      </c>
      <c r="B383" s="34" t="s">
        <v>2356</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6"/>
  <sheetViews>
    <sheetView topLeftCell="S10" workbookViewId="0">
      <selection activeCell="AA10" sqref="AA10"/>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37.85546875" style="133" customWidth="1"/>
    <col min="17" max="17" width="23.285156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D1" s="133">
        <f>Hlavní!V39</f>
        <v>2</v>
      </c>
      <c r="M1" s="175"/>
      <c r="AA1" s="178" t="s">
        <v>3290</v>
      </c>
      <c r="AB1" s="178" t="s">
        <v>3098</v>
      </c>
      <c r="AH1" s="198" t="s">
        <v>385</v>
      </c>
      <c r="AI1" s="198" t="s">
        <v>387</v>
      </c>
    </row>
    <row r="2" spans="1:35">
      <c r="M2" s="175"/>
      <c r="AA2" s="178" t="s">
        <v>3291</v>
      </c>
      <c r="AB2" s="178" t="s">
        <v>3169</v>
      </c>
      <c r="AH2" s="198" t="s">
        <v>1139</v>
      </c>
      <c r="AI2" s="198" t="s">
        <v>1140</v>
      </c>
    </row>
    <row r="3" spans="1:35">
      <c r="B3" s="134"/>
      <c r="C3" s="134"/>
      <c r="D3" s="134"/>
      <c r="E3" s="134"/>
      <c r="F3" s="134"/>
      <c r="G3" s="168" t="s">
        <v>18</v>
      </c>
      <c r="H3" s="169">
        <v>25.05</v>
      </c>
      <c r="I3" s="168" t="s">
        <v>18</v>
      </c>
      <c r="J3" s="169">
        <v>6</v>
      </c>
      <c r="K3" s="168" t="s">
        <v>558</v>
      </c>
      <c r="L3" s="169">
        <v>6.2</v>
      </c>
      <c r="M3" s="175"/>
      <c r="AA3" s="178" t="s">
        <v>3292</v>
      </c>
      <c r="AB3" s="178" t="s">
        <v>3099</v>
      </c>
      <c r="AH3" s="198" t="s">
        <v>988</v>
      </c>
      <c r="AI3" s="198" t="s">
        <v>1136</v>
      </c>
    </row>
    <row r="4" spans="1:35">
      <c r="B4" s="170" t="s">
        <v>19</v>
      </c>
      <c r="C4" s="482" t="s">
        <v>20</v>
      </c>
      <c r="D4" s="483"/>
      <c r="E4" s="482" t="s">
        <v>20</v>
      </c>
      <c r="F4" s="483"/>
      <c r="G4" s="482" t="s">
        <v>21</v>
      </c>
      <c r="H4" s="483"/>
      <c r="I4" s="482" t="s">
        <v>22</v>
      </c>
      <c r="J4" s="483"/>
      <c r="K4" s="482" t="s">
        <v>23</v>
      </c>
      <c r="L4" s="483"/>
      <c r="M4" s="175"/>
      <c r="AA4" s="178" t="s">
        <v>3428</v>
      </c>
      <c r="AB4" s="178" t="s">
        <v>3100</v>
      </c>
      <c r="AH4" s="198" t="s">
        <v>933</v>
      </c>
      <c r="AI4" s="198"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3727</v>
      </c>
      <c r="S5" s="133" t="s">
        <v>3524</v>
      </c>
      <c r="U5" s="133" t="s">
        <v>3525</v>
      </c>
      <c r="V5" s="133" t="s">
        <v>3526</v>
      </c>
      <c r="AA5" s="178" t="s">
        <v>3293</v>
      </c>
      <c r="AB5" s="178" t="s">
        <v>3101</v>
      </c>
      <c r="AH5" s="198" t="s">
        <v>547</v>
      </c>
      <c r="AI5" s="198" t="s">
        <v>3200</v>
      </c>
    </row>
    <row r="6" spans="1:35">
      <c r="A6" s="484" t="s">
        <v>935</v>
      </c>
      <c r="B6" s="177" t="str">
        <f>IF($D$1=1,M6,
IF($D$1=2,N6,
IF($D$1=3,O6,
IF($D$1=4,P6,
IF($D$1=5,Q6,
IF($D$1=6,R6,0))))))</f>
        <v>BRW (elox.) - maximálna odporúčaná odporúčaná dĺžka profilu 2500 mm</v>
      </c>
      <c r="C6" s="170">
        <f>IF($D$1=1,E6,IF(OR($D$1=2,$D$1=5,),G6,IF($D$1=3,I6,IF($D$1=4,K6,IF($D$1=6,G6*1.3,0)))))</f>
        <v>12.894191137724553</v>
      </c>
      <c r="D6" s="170">
        <f>IF($D$1=1,F6,IF(OR($D$1=2,$D$1=5),H6,IF($D$1=3,J6,IF($D$1=4,L6,IF($D$1=6,H6*1.3,0)))))</f>
        <v>7.3270562874251493</v>
      </c>
      <c r="E6" s="170">
        <v>373.07692800000001</v>
      </c>
      <c r="F6" s="170">
        <v>211.47318000000001</v>
      </c>
      <c r="G6" s="170">
        <v>12.894191137724553</v>
      </c>
      <c r="H6" s="170">
        <v>7.3270562874251493</v>
      </c>
      <c r="I6" s="170">
        <v>49.03416</v>
      </c>
      <c r="J6" s="170">
        <v>31.920480000000005</v>
      </c>
      <c r="K6" s="170">
        <v>4704.8562580645166</v>
      </c>
      <c r="L6" s="170">
        <v>2844.5266451612906</v>
      </c>
      <c r="M6" s="178" t="s">
        <v>3290</v>
      </c>
      <c r="N6" s="178" t="s">
        <v>3337</v>
      </c>
      <c r="O6" s="178" t="s">
        <v>3391</v>
      </c>
      <c r="P6" s="178" t="s">
        <v>3469</v>
      </c>
      <c r="Q6" s="209" t="s">
        <v>3047</v>
      </c>
      <c r="R6" s="325" t="s">
        <v>3728</v>
      </c>
      <c r="S6" s="133">
        <v>2500</v>
      </c>
      <c r="T6" s="133">
        <v>2500</v>
      </c>
      <c r="U6" s="276">
        <v>2700</v>
      </c>
      <c r="V6" s="276">
        <v>700</v>
      </c>
      <c r="AA6" s="179" t="s">
        <v>3294</v>
      </c>
      <c r="AB6" s="178" t="s">
        <v>3102</v>
      </c>
      <c r="AH6" s="198" t="s">
        <v>389</v>
      </c>
      <c r="AI6" s="198" t="s">
        <v>3201</v>
      </c>
    </row>
    <row r="7" spans="1:35">
      <c r="A7" s="485"/>
      <c r="B7" s="177" t="str">
        <f t="shared" ref="B7:B65" si="0">IF($D$1=1,M7,
IF($D$1=2,N7,
IF($D$1=3,O7,
IF($D$1=4,P7,
IF($D$1=5,Q7,
IF($D$1=6,R7,0))))))</f>
        <v>BRW antracit RAL 7021 - maximálna odporúčaná dĺžka profilu 2500 mm</v>
      </c>
      <c r="C7" s="170">
        <f t="shared" ref="C7:C60" si="1">IF($D$1=1,E7,IF(OR($D$1=2,$D$1=5,),G7,IF($D$1=3,I7,IF($D$1=4,K7,IF($D$1=6,G7*1.3,0)))))</f>
        <v>23.181025994730536</v>
      </c>
      <c r="D7" s="170">
        <f t="shared" ref="D7:D60" si="2">IF($D$1=1,F7,IF(OR($D$1=2,$D$1=5),H7,IF($D$1=3,J7,IF($D$1=4,L7,IF($D$1=6,H7*1.3,0)))))</f>
        <v>7.3270562874251493</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3291</v>
      </c>
      <c r="N7" s="178" t="s">
        <v>3338</v>
      </c>
      <c r="O7" s="178" t="s">
        <v>3392</v>
      </c>
      <c r="P7" s="178" t="s">
        <v>3470</v>
      </c>
      <c r="Q7" s="209" t="s">
        <v>3145</v>
      </c>
      <c r="R7" s="325" t="s">
        <v>3729</v>
      </c>
      <c r="S7" s="133">
        <v>2500</v>
      </c>
      <c r="T7" s="133">
        <v>2500</v>
      </c>
      <c r="U7" s="276">
        <v>2700</v>
      </c>
      <c r="V7" s="276">
        <v>700</v>
      </c>
      <c r="AA7" s="179" t="s">
        <v>3295</v>
      </c>
      <c r="AB7" s="178" t="s">
        <v>3103</v>
      </c>
      <c r="AH7" s="198" t="s">
        <v>3589</v>
      </c>
      <c r="AI7" s="198" t="s">
        <v>3202</v>
      </c>
    </row>
    <row r="8" spans="1:35">
      <c r="A8" s="485"/>
      <c r="B8" s="177" t="str">
        <f t="shared" si="0"/>
        <v>BRW biela matt RAL 9003 - maximálna odporúčaná dĺžka profilu 2500 mm</v>
      </c>
      <c r="C8" s="170">
        <f t="shared" si="1"/>
        <v>20.775158135568866</v>
      </c>
      <c r="D8" s="170">
        <f t="shared" si="2"/>
        <v>7.3270562874251493</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3292</v>
      </c>
      <c r="N8" s="178" t="s">
        <v>3339</v>
      </c>
      <c r="O8" s="178" t="s">
        <v>3393</v>
      </c>
      <c r="P8" s="178" t="s">
        <v>3471</v>
      </c>
      <c r="Q8" s="209" t="s">
        <v>3146</v>
      </c>
      <c r="R8" s="325" t="s">
        <v>3730</v>
      </c>
      <c r="S8" s="133">
        <v>2500</v>
      </c>
      <c r="T8" s="133">
        <v>2500</v>
      </c>
      <c r="U8" s="276">
        <v>2700</v>
      </c>
      <c r="V8" s="276">
        <v>700</v>
      </c>
      <c r="AA8" s="180" t="s">
        <v>3530</v>
      </c>
      <c r="AB8" s="179" t="s">
        <v>1603</v>
      </c>
      <c r="AH8" s="198" t="s">
        <v>3590</v>
      </c>
      <c r="AI8" s="198" t="s">
        <v>3203</v>
      </c>
    </row>
    <row r="9" spans="1:35">
      <c r="A9" s="485"/>
      <c r="B9" s="177" t="str">
        <f t="shared" si="0"/>
        <v>BRW biela lesk RAL 9003 - maximálna odporúčaná dĺžka profilu 2500 mm</v>
      </c>
      <c r="C9" s="170">
        <f t="shared" si="1"/>
        <v>20.775158135568866</v>
      </c>
      <c r="D9" s="170">
        <f t="shared" si="2"/>
        <v>7.3270562874251493</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3428</v>
      </c>
      <c r="N9" s="178" t="s">
        <v>3429</v>
      </c>
      <c r="O9" s="178" t="s">
        <v>3430</v>
      </c>
      <c r="P9" s="178" t="s">
        <v>3472</v>
      </c>
      <c r="Q9" s="209" t="s">
        <v>3431</v>
      </c>
      <c r="R9" s="325" t="s">
        <v>3731</v>
      </c>
      <c r="S9" s="133">
        <v>2500</v>
      </c>
      <c r="T9" s="133">
        <v>2500</v>
      </c>
      <c r="U9" s="276">
        <v>2700</v>
      </c>
      <c r="V9" s="276">
        <v>700</v>
      </c>
      <c r="AA9" s="179" t="s">
        <v>3296</v>
      </c>
      <c r="AB9" s="178" t="s">
        <v>3104</v>
      </c>
      <c r="AH9" s="198" t="s">
        <v>3591</v>
      </c>
      <c r="AI9" s="198" t="s">
        <v>3204</v>
      </c>
    </row>
    <row r="10" spans="1:35" ht="15.75" customHeight="1">
      <c r="A10" s="485"/>
      <c r="B10" s="177" t="str">
        <f t="shared" si="0"/>
        <v>BRW hnědá - maximálna odporúčaná dĺžka profilu 2500 mm</v>
      </c>
      <c r="C10" s="170">
        <f t="shared" si="1"/>
        <v>13.32466491017964</v>
      </c>
      <c r="D10" s="170">
        <f t="shared" si="2"/>
        <v>7.3270562874251493</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3293</v>
      </c>
      <c r="N10" s="178" t="s">
        <v>3340</v>
      </c>
      <c r="O10" s="178" t="s">
        <v>3394</v>
      </c>
      <c r="P10" s="178" t="s">
        <v>3473</v>
      </c>
      <c r="Q10" s="209" t="s">
        <v>3581</v>
      </c>
      <c r="R10" s="325" t="s">
        <v>3732</v>
      </c>
      <c r="S10" s="133">
        <v>2500</v>
      </c>
      <c r="T10" s="133">
        <v>2500</v>
      </c>
      <c r="U10" s="276">
        <v>2700</v>
      </c>
      <c r="V10" s="276">
        <v>700</v>
      </c>
      <c r="AA10" s="179" t="s">
        <v>4508</v>
      </c>
      <c r="AB10" s="178" t="s">
        <v>4531</v>
      </c>
      <c r="AH10" s="198"/>
      <c r="AI10" s="198"/>
    </row>
    <row r="11" spans="1:35">
      <c r="A11" s="485"/>
      <c r="B11" s="177" t="str">
        <f t="shared" si="0"/>
        <v>BRW brúsené - maximálna odporúčaná dĺžka profilu 2500 mm</v>
      </c>
      <c r="C11" s="170">
        <f t="shared" si="1"/>
        <v>18.701582658682636</v>
      </c>
      <c r="D11" s="170">
        <f t="shared" si="2"/>
        <v>7.3270562874251493</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3294</v>
      </c>
      <c r="N11" s="179" t="s">
        <v>3341</v>
      </c>
      <c r="O11" s="178" t="s">
        <v>3395</v>
      </c>
      <c r="P11" s="179" t="s">
        <v>3474</v>
      </c>
      <c r="Q11" s="209" t="s">
        <v>3147</v>
      </c>
      <c r="R11" s="325" t="s">
        <v>3733</v>
      </c>
      <c r="S11" s="133">
        <v>2500</v>
      </c>
      <c r="T11" s="133">
        <v>2500</v>
      </c>
      <c r="U11" s="276">
        <v>2700</v>
      </c>
      <c r="V11" s="276">
        <v>700</v>
      </c>
      <c r="AA11" s="179" t="s">
        <v>3297</v>
      </c>
      <c r="AB11" s="178" t="s">
        <v>4521</v>
      </c>
      <c r="AH11" s="198" t="s">
        <v>812</v>
      </c>
      <c r="AI11" s="198" t="s">
        <v>3205</v>
      </c>
    </row>
    <row r="12" spans="1:35">
      <c r="A12" s="485"/>
      <c r="B12" s="177" t="str">
        <f t="shared" si="0"/>
        <v>BRW čierna matt - maximálna odporúčaná dĺžka profilu 2500 mm</v>
      </c>
      <c r="C12" s="170">
        <f t="shared" si="1"/>
        <v>12.791678313772454</v>
      </c>
      <c r="D12" s="170">
        <f t="shared" si="2"/>
        <v>7.4118395209580834</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3295</v>
      </c>
      <c r="N12" s="179" t="s">
        <v>3342</v>
      </c>
      <c r="O12" s="178" t="s">
        <v>3396</v>
      </c>
      <c r="P12" s="179" t="s">
        <v>3475</v>
      </c>
      <c r="Q12" s="209" t="s">
        <v>3148</v>
      </c>
      <c r="R12" s="325" t="s">
        <v>3734</v>
      </c>
      <c r="S12" s="133">
        <v>2500</v>
      </c>
      <c r="T12" s="133">
        <v>2500</v>
      </c>
      <c r="U12" s="276">
        <v>2700</v>
      </c>
      <c r="V12" s="276">
        <v>700</v>
      </c>
      <c r="AA12" s="179" t="s">
        <v>3432</v>
      </c>
      <c r="AB12" s="178" t="s">
        <v>555</v>
      </c>
      <c r="AH12" s="198" t="s">
        <v>813</v>
      </c>
      <c r="AI12" s="198" t="s">
        <v>3206</v>
      </c>
    </row>
    <row r="13" spans="1:35">
      <c r="A13" s="485"/>
      <c r="B13" s="177" t="str">
        <f t="shared" si="0"/>
        <v>BRW zlatá - maximálna odporúčaná dĺžka profilu 2500 mm</v>
      </c>
      <c r="C13" s="170">
        <f t="shared" si="1"/>
        <v>25.984598227544911</v>
      </c>
      <c r="D13" s="170">
        <f t="shared" si="2"/>
        <v>7.3270562874251493</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3530</v>
      </c>
      <c r="N13" s="180" t="s">
        <v>3531</v>
      </c>
      <c r="O13" s="179" t="s">
        <v>3532</v>
      </c>
      <c r="P13" s="179" t="s">
        <v>3533</v>
      </c>
      <c r="Q13" s="178" t="s">
        <v>3534</v>
      </c>
      <c r="R13" s="325" t="s">
        <v>3735</v>
      </c>
      <c r="S13" s="133">
        <v>2500</v>
      </c>
      <c r="T13" s="133">
        <v>2500</v>
      </c>
      <c r="U13" s="276">
        <v>2700</v>
      </c>
      <c r="V13" s="276">
        <v>700</v>
      </c>
      <c r="AA13" s="179" t="s">
        <v>3436</v>
      </c>
      <c r="AB13" s="178" t="s">
        <v>3105</v>
      </c>
      <c r="AH13" s="198" t="s">
        <v>390</v>
      </c>
      <c r="AI13" s="198" t="s">
        <v>3207</v>
      </c>
    </row>
    <row r="14" spans="1:35">
      <c r="A14" s="485"/>
      <c r="B14" s="177" t="str">
        <f t="shared" si="0"/>
        <v>BRW čierna brúsená - maximálna odporúčaná dĺžka profilu 2500 mm</v>
      </c>
      <c r="C14" s="170">
        <f t="shared" si="1"/>
        <v>14.385832814371257</v>
      </c>
      <c r="D14" s="170">
        <f t="shared" si="2"/>
        <v>7.4118395209580834</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3296</v>
      </c>
      <c r="N14" s="179" t="s">
        <v>3343</v>
      </c>
      <c r="O14" s="178" t="s">
        <v>3397</v>
      </c>
      <c r="P14" s="179" t="s">
        <v>3476</v>
      </c>
      <c r="Q14" s="209" t="s">
        <v>3149</v>
      </c>
      <c r="R14" s="325" t="s">
        <v>3736</v>
      </c>
      <c r="S14" s="133">
        <v>2500</v>
      </c>
      <c r="T14" s="133">
        <v>2500</v>
      </c>
      <c r="U14" s="276">
        <v>2700</v>
      </c>
      <c r="V14" s="276">
        <v>700</v>
      </c>
      <c r="AA14" s="179" t="s">
        <v>3440</v>
      </c>
      <c r="AB14" s="178" t="s">
        <v>3106</v>
      </c>
      <c r="AH14" s="198" t="s">
        <v>3613</v>
      </c>
      <c r="AI14" s="198" t="s">
        <v>3208</v>
      </c>
    </row>
    <row r="15" spans="1:35">
      <c r="A15" s="485"/>
      <c r="B15" s="177" t="str">
        <f t="shared" si="0"/>
        <v>BRW svetlá nerez (INOX ACIER gratta)- maximálna odporúčaná dĺžka profilu 2500 mm</v>
      </c>
      <c r="C15" s="170">
        <f t="shared" si="1"/>
        <v>18.072557029940121</v>
      </c>
      <c r="D15" s="170">
        <f t="shared" si="2"/>
        <v>7.3270562874251493</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4508</v>
      </c>
      <c r="N15" s="179" t="s">
        <v>4509</v>
      </c>
      <c r="O15" s="178" t="s">
        <v>4510</v>
      </c>
      <c r="P15" s="179" t="s">
        <v>4511</v>
      </c>
      <c r="Q15" s="209" t="s">
        <v>4512</v>
      </c>
      <c r="R15" s="325" t="s">
        <v>4513</v>
      </c>
      <c r="S15" s="133">
        <v>2500</v>
      </c>
      <c r="T15" s="133">
        <v>2500</v>
      </c>
      <c r="U15" s="276">
        <v>2700</v>
      </c>
      <c r="V15" s="276">
        <v>700</v>
      </c>
      <c r="AA15" s="179" t="s">
        <v>3298</v>
      </c>
      <c r="AB15" s="178" t="s">
        <v>3107</v>
      </c>
      <c r="AH15" s="198" t="s">
        <v>397</v>
      </c>
      <c r="AI15" s="198" t="s">
        <v>3209</v>
      </c>
    </row>
    <row r="16" spans="1:35">
      <c r="A16" s="485"/>
      <c r="B16" s="177" t="str">
        <f t="shared" si="0"/>
        <v>BRW tmavá nerez brúsená (INOX LIJA) - maximálna odporúčaná dĺžka profilu 2500 mm</v>
      </c>
      <c r="C16" s="170">
        <f t="shared" si="1"/>
        <v>15.507066826347303</v>
      </c>
      <c r="D16" s="170">
        <f t="shared" si="2"/>
        <v>7.3270562874251493</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4500</v>
      </c>
      <c r="N16" s="179" t="s">
        <v>4501</v>
      </c>
      <c r="O16" s="178" t="s">
        <v>4502</v>
      </c>
      <c r="P16" s="179" t="s">
        <v>4503</v>
      </c>
      <c r="Q16" s="209" t="s">
        <v>4504</v>
      </c>
      <c r="R16" s="325" t="s">
        <v>4505</v>
      </c>
      <c r="S16" s="133">
        <v>2500</v>
      </c>
      <c r="T16" s="133">
        <v>2500</v>
      </c>
      <c r="U16" s="276">
        <v>2700</v>
      </c>
      <c r="V16" s="276">
        <v>700</v>
      </c>
      <c r="AA16" s="178" t="s">
        <v>3299</v>
      </c>
      <c r="AB16" s="178" t="s">
        <v>3108</v>
      </c>
      <c r="AH16" s="198" t="s">
        <v>398</v>
      </c>
      <c r="AI16" s="198" t="s">
        <v>3210</v>
      </c>
    </row>
    <row r="17" spans="1:35">
      <c r="A17" s="485"/>
      <c r="B17" s="177" t="str">
        <f t="shared" si="0"/>
        <v>Corleone (elox.) - maximálna odporúčaná dĺžka profilu 1500 mm</v>
      </c>
      <c r="C17" s="170">
        <f t="shared" si="1"/>
        <v>15.623862035928143</v>
      </c>
      <c r="D17" s="170">
        <f t="shared" si="2"/>
        <v>9.1744383233532911</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3432</v>
      </c>
      <c r="N17" s="179" t="s">
        <v>3433</v>
      </c>
      <c r="O17" s="178" t="s">
        <v>3434</v>
      </c>
      <c r="P17" s="179" t="s">
        <v>3477</v>
      </c>
      <c r="Q17" s="209" t="s">
        <v>3435</v>
      </c>
      <c r="R17" s="325" t="s">
        <v>3737</v>
      </c>
      <c r="S17" s="133">
        <v>1500</v>
      </c>
      <c r="T17" s="133">
        <v>1500</v>
      </c>
      <c r="U17" s="276">
        <v>1500</v>
      </c>
      <c r="V17" s="276">
        <v>700</v>
      </c>
      <c r="AA17" s="179" t="s">
        <v>3300</v>
      </c>
      <c r="AB17" s="178" t="s">
        <v>3109</v>
      </c>
      <c r="AH17" s="198" t="s">
        <v>391</v>
      </c>
      <c r="AI17" s="198" t="s">
        <v>3211</v>
      </c>
    </row>
    <row r="18" spans="1:35">
      <c r="A18" s="485"/>
      <c r="B18" s="177" t="str">
        <f t="shared" si="0"/>
        <v>Corleone čierne mat - maximálna odporúčaná dĺžka profilu 1500 mm</v>
      </c>
      <c r="C18" s="170">
        <f t="shared" si="1"/>
        <v>23.418574102994015</v>
      </c>
      <c r="D18" s="170">
        <f t="shared" si="2"/>
        <v>9.2592215568862262</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3436</v>
      </c>
      <c r="N18" s="179" t="s">
        <v>3437</v>
      </c>
      <c r="O18" s="178" t="s">
        <v>3438</v>
      </c>
      <c r="P18" s="179" t="s">
        <v>3478</v>
      </c>
      <c r="Q18" s="209" t="s">
        <v>3439</v>
      </c>
      <c r="R18" s="325" t="s">
        <v>3738</v>
      </c>
      <c r="S18" s="133">
        <v>1500</v>
      </c>
      <c r="T18" s="133">
        <v>1500</v>
      </c>
      <c r="U18" s="276">
        <v>1500</v>
      </c>
      <c r="V18" s="276">
        <v>700</v>
      </c>
      <c r="AA18" s="179" t="s">
        <v>3301</v>
      </c>
      <c r="AB18" s="178" t="s">
        <v>3110</v>
      </c>
      <c r="AH18" s="198" t="s">
        <v>857</v>
      </c>
      <c r="AI18" s="198" t="s">
        <v>3212</v>
      </c>
    </row>
    <row r="19" spans="1:35">
      <c r="A19" s="485"/>
      <c r="B19" s="177" t="str">
        <f t="shared" si="0"/>
        <v>Imola (elox.) - maximálna odporúčaná dĺžka profilu 2500 mm</v>
      </c>
      <c r="C19" s="170">
        <f t="shared" si="1"/>
        <v>15.308014419161674</v>
      </c>
      <c r="D19" s="170">
        <f t="shared" si="2"/>
        <v>9.1744383233532911</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3440</v>
      </c>
      <c r="N19" s="179" t="s">
        <v>3441</v>
      </c>
      <c r="O19" s="178" t="s">
        <v>3442</v>
      </c>
      <c r="P19" s="179" t="s">
        <v>3479</v>
      </c>
      <c r="Q19" s="209" t="s">
        <v>3443</v>
      </c>
      <c r="R19" s="325" t="s">
        <v>3739</v>
      </c>
      <c r="S19" s="133">
        <v>2500</v>
      </c>
      <c r="T19" s="133">
        <v>2500</v>
      </c>
      <c r="U19" s="276">
        <v>2700</v>
      </c>
      <c r="V19" s="276">
        <v>700</v>
      </c>
      <c r="AA19" s="180" t="s">
        <v>3444</v>
      </c>
      <c r="AB19" s="179" t="s">
        <v>3111</v>
      </c>
      <c r="AH19" s="198" t="s">
        <v>858</v>
      </c>
      <c r="AI19" s="198" t="s">
        <v>3213</v>
      </c>
    </row>
    <row r="20" spans="1:35">
      <c r="A20" s="485"/>
      <c r="B20" s="177" t="str">
        <f t="shared" si="0"/>
        <v>Imola čierna mat - maximálna odporúčaná dĺžka profilu 2500 mm</v>
      </c>
      <c r="C20" s="170">
        <f t="shared" si="1"/>
        <v>19.517814323353292</v>
      </c>
      <c r="D20" s="170">
        <f t="shared" si="2"/>
        <v>9.1744383233532911</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3298</v>
      </c>
      <c r="N20" s="179" t="s">
        <v>3344</v>
      </c>
      <c r="O20" s="178" t="s">
        <v>3398</v>
      </c>
      <c r="P20" s="179" t="s">
        <v>3480</v>
      </c>
      <c r="Q20" s="209" t="s">
        <v>3150</v>
      </c>
      <c r="R20" s="325" t="s">
        <v>3740</v>
      </c>
      <c r="S20" s="133">
        <v>2500</v>
      </c>
      <c r="T20" s="133">
        <v>2500</v>
      </c>
      <c r="U20" s="276">
        <v>2700</v>
      </c>
      <c r="V20" s="276">
        <v>700</v>
      </c>
      <c r="AA20" s="178" t="s">
        <v>3302</v>
      </c>
      <c r="AB20" s="178" t="s">
        <v>3112</v>
      </c>
      <c r="AH20" s="198" t="s">
        <v>3614</v>
      </c>
      <c r="AI20" s="198" t="s">
        <v>3214</v>
      </c>
    </row>
    <row r="21" spans="1:35">
      <c r="A21" s="485"/>
      <c r="B21" s="177" t="str">
        <f t="shared" si="0"/>
        <v>Imola biela matt RAL 9003 - maximálna odporúčaná dĺžka profilu 2500 mm</v>
      </c>
      <c r="C21" s="170">
        <f t="shared" si="1"/>
        <v>32.40360888661079</v>
      </c>
      <c r="D21" s="170">
        <f t="shared" si="2"/>
        <v>9.1744383233532911</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3299</v>
      </c>
      <c r="N21" s="178" t="s">
        <v>3345</v>
      </c>
      <c r="O21" s="178" t="s">
        <v>3399</v>
      </c>
      <c r="P21" s="178" t="s">
        <v>3481</v>
      </c>
      <c r="Q21" s="209" t="s">
        <v>3151</v>
      </c>
      <c r="R21" s="325" t="s">
        <v>3741</v>
      </c>
      <c r="S21" s="133">
        <v>2500</v>
      </c>
      <c r="T21" s="133">
        <v>2500</v>
      </c>
      <c r="U21" s="276">
        <v>2700</v>
      </c>
      <c r="V21" s="276">
        <v>700</v>
      </c>
      <c r="AA21" s="178" t="s">
        <v>3303</v>
      </c>
      <c r="AB21" s="178" t="s">
        <v>4522</v>
      </c>
      <c r="AH21" s="198" t="s">
        <v>862</v>
      </c>
      <c r="AI21" s="198" t="s">
        <v>3215</v>
      </c>
    </row>
    <row r="22" spans="1:35">
      <c r="A22" s="485"/>
      <c r="B22" s="177" t="str">
        <f t="shared" si="0"/>
        <v>Modena (elox.) - maximálna odporúčaná dĺžka profilu 2500 mm</v>
      </c>
      <c r="C22" s="170">
        <f t="shared" si="1"/>
        <v>19.981391195209579</v>
      </c>
      <c r="D22" s="170">
        <f t="shared" si="2"/>
        <v>9.1744383233532911</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3300</v>
      </c>
      <c r="N22" s="179" t="s">
        <v>3346</v>
      </c>
      <c r="O22" s="178" t="s">
        <v>3400</v>
      </c>
      <c r="P22" s="179" t="s">
        <v>3482</v>
      </c>
      <c r="Q22" s="209" t="s">
        <v>3048</v>
      </c>
      <c r="R22" s="325" t="s">
        <v>3742</v>
      </c>
      <c r="S22" s="133">
        <v>2500</v>
      </c>
      <c r="T22" s="133">
        <v>2500</v>
      </c>
      <c r="U22" s="276">
        <v>2700</v>
      </c>
      <c r="V22" s="276">
        <v>700</v>
      </c>
      <c r="AA22" s="179" t="s">
        <v>3306</v>
      </c>
      <c r="AB22" s="178" t="s">
        <v>3113</v>
      </c>
      <c r="AH22" s="198" t="s">
        <v>394</v>
      </c>
      <c r="AI22" s="198" t="s">
        <v>3216</v>
      </c>
    </row>
    <row r="23" spans="1:35">
      <c r="A23" s="485"/>
      <c r="B23" s="177" t="str">
        <f t="shared" si="0"/>
        <v>Modena čierna matt - maximálna odporúčaná dĺžka profilu 2500 mm</v>
      </c>
      <c r="C23" s="170">
        <f t="shared" si="1"/>
        <v>20.894115725029938</v>
      </c>
      <c r="D23" s="170">
        <f t="shared" si="2"/>
        <v>9.2592215568862262</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3301</v>
      </c>
      <c r="N23" s="179" t="s">
        <v>3347</v>
      </c>
      <c r="O23" s="178" t="s">
        <v>3401</v>
      </c>
      <c r="P23" s="179" t="s">
        <v>3483</v>
      </c>
      <c r="Q23" s="209" t="s">
        <v>3152</v>
      </c>
      <c r="R23" s="325" t="s">
        <v>3743</v>
      </c>
      <c r="S23" s="133">
        <v>2500</v>
      </c>
      <c r="T23" s="133">
        <v>2500</v>
      </c>
      <c r="U23" s="276">
        <v>2700</v>
      </c>
      <c r="V23" s="276">
        <v>700</v>
      </c>
      <c r="AA23" s="179" t="s">
        <v>3448</v>
      </c>
      <c r="AB23" s="178" t="s">
        <v>3114</v>
      </c>
      <c r="AH23" s="199" t="s">
        <v>3615</v>
      </c>
      <c r="AI23" s="198" t="s">
        <v>2572</v>
      </c>
    </row>
    <row r="24" spans="1:35">
      <c r="A24" s="485"/>
      <c r="B24" s="177" t="str">
        <f t="shared" si="0"/>
        <v>Verona zlatá - maximálna odporúčaná dĺžka profilu 2150 mm</v>
      </c>
      <c r="C24" s="170">
        <f t="shared" si="1"/>
        <v>23.436727415568861</v>
      </c>
      <c r="D24" s="170">
        <f t="shared" si="2"/>
        <v>7.3270562874251493</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3444</v>
      </c>
      <c r="N24" s="180" t="s">
        <v>3445</v>
      </c>
      <c r="O24" s="179" t="s">
        <v>3446</v>
      </c>
      <c r="P24" s="179" t="s">
        <v>3484</v>
      </c>
      <c r="Q24" s="178" t="s">
        <v>3447</v>
      </c>
      <c r="R24" s="325" t="s">
        <v>3744</v>
      </c>
      <c r="S24" s="133">
        <v>2150</v>
      </c>
      <c r="T24" s="133">
        <v>2150</v>
      </c>
      <c r="U24" s="276">
        <v>2150</v>
      </c>
      <c r="V24" s="276">
        <v>700</v>
      </c>
      <c r="AA24" s="180" t="s">
        <v>3452</v>
      </c>
      <c r="AB24" s="179" t="s">
        <v>3115</v>
      </c>
      <c r="AH24" s="199" t="s">
        <v>395</v>
      </c>
      <c r="AI24" s="198" t="s">
        <v>3217</v>
      </c>
    </row>
    <row r="25" spans="1:35">
      <c r="A25" s="485"/>
      <c r="B25" s="177" t="str">
        <f t="shared" si="0"/>
        <v>Modena čierna brúsená - maximálna odporúčaná dĺžka profilu 2500 mm</v>
      </c>
      <c r="C25" s="170">
        <f t="shared" si="1"/>
        <v>29.129359300598797</v>
      </c>
      <c r="D25" s="170">
        <f t="shared" si="2"/>
        <v>7.3270562874251493</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3302</v>
      </c>
      <c r="N25" s="178" t="s">
        <v>3348</v>
      </c>
      <c r="O25" s="178" t="s">
        <v>3402</v>
      </c>
      <c r="P25" s="178" t="s">
        <v>3485</v>
      </c>
      <c r="Q25" s="209" t="s">
        <v>3153</v>
      </c>
      <c r="R25" s="325" t="s">
        <v>3745</v>
      </c>
      <c r="S25" s="133">
        <v>2500</v>
      </c>
      <c r="T25" s="133">
        <v>2500</v>
      </c>
      <c r="U25" s="276">
        <v>2700</v>
      </c>
      <c r="V25" s="276">
        <v>700</v>
      </c>
      <c r="AA25" s="179" t="s">
        <v>3309</v>
      </c>
      <c r="AB25" s="178" t="s">
        <v>3116</v>
      </c>
      <c r="AH25" s="199" t="s">
        <v>3616</v>
      </c>
      <c r="AI25" s="198" t="s">
        <v>3218</v>
      </c>
    </row>
    <row r="26" spans="1:35">
      <c r="A26" s="485"/>
      <c r="B26" s="177" t="str">
        <f t="shared" si="0"/>
        <v>Modena tmavá nerez brúsená LIJA - maximálna odporúčaná dĺžka profilu 2500 mm</v>
      </c>
      <c r="C26" s="170">
        <f t="shared" si="1"/>
        <v>26.462123784431139</v>
      </c>
      <c r="D26" s="170">
        <f t="shared" si="2"/>
        <v>9.1744383233532911</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3303</v>
      </c>
      <c r="N26" s="178" t="s">
        <v>3349</v>
      </c>
      <c r="O26" s="178" t="s">
        <v>4533</v>
      </c>
      <c r="P26" s="178" t="s">
        <v>4543</v>
      </c>
      <c r="Q26" s="209" t="s">
        <v>3154</v>
      </c>
      <c r="R26" s="325" t="s">
        <v>3746</v>
      </c>
      <c r="S26" s="133">
        <v>2500</v>
      </c>
      <c r="T26" s="133">
        <v>2500</v>
      </c>
      <c r="U26" s="276">
        <v>2700</v>
      </c>
      <c r="V26" s="276">
        <v>700</v>
      </c>
      <c r="AA26" s="179" t="s">
        <v>3310</v>
      </c>
      <c r="AB26" s="178" t="s">
        <v>3117</v>
      </c>
      <c r="AH26" s="199" t="s">
        <v>396</v>
      </c>
      <c r="AI26" s="198" t="s">
        <v>3219</v>
      </c>
    </row>
    <row r="27" spans="1:35">
      <c r="A27" s="485"/>
      <c r="B27" s="177" t="str">
        <f t="shared" si="0"/>
        <v>Palio (elox.) - maximálna odporúčaná dĺžka profilu 2500 mm</v>
      </c>
      <c r="C27" s="170">
        <f t="shared" si="1"/>
        <v>17.830824316167664</v>
      </c>
      <c r="D27" s="170">
        <f t="shared" si="2"/>
        <v>9.1744383233532911</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3304</v>
      </c>
      <c r="N27" s="178" t="s">
        <v>3350</v>
      </c>
      <c r="O27" s="178" t="s">
        <v>3403</v>
      </c>
      <c r="P27" s="178" t="s">
        <v>3486</v>
      </c>
      <c r="Q27" s="209" t="s">
        <v>3049</v>
      </c>
      <c r="R27" s="325" t="s">
        <v>3747</v>
      </c>
      <c r="S27" s="133">
        <v>2500</v>
      </c>
      <c r="T27" s="133">
        <v>2500</v>
      </c>
      <c r="U27" s="276">
        <v>2700</v>
      </c>
      <c r="V27" s="276">
        <v>700</v>
      </c>
      <c r="AA27" s="179" t="s">
        <v>3311</v>
      </c>
      <c r="AB27" s="178" t="s">
        <v>3118</v>
      </c>
      <c r="AH27" s="199" t="s">
        <v>3617</v>
      </c>
      <c r="AI27" s="198" t="s">
        <v>3220</v>
      </c>
    </row>
    <row r="28" spans="1:35">
      <c r="A28" s="485"/>
      <c r="B28" s="177"/>
      <c r="C28" s="170">
        <f t="shared" si="1"/>
        <v>20.753507640718563</v>
      </c>
      <c r="D28" s="170">
        <f t="shared" si="2"/>
        <v>9.2592215568862262</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3305</v>
      </c>
      <c r="N28" s="178" t="s">
        <v>3351</v>
      </c>
      <c r="O28" s="178" t="s">
        <v>3404</v>
      </c>
      <c r="P28" s="178" t="s">
        <v>3487</v>
      </c>
      <c r="Q28" s="209" t="s">
        <v>3155</v>
      </c>
      <c r="R28" s="325" t="s">
        <v>3748</v>
      </c>
      <c r="S28" s="133">
        <v>2500</v>
      </c>
      <c r="T28" s="133">
        <v>2500</v>
      </c>
      <c r="U28" s="276">
        <v>2700</v>
      </c>
      <c r="V28" s="276">
        <v>700</v>
      </c>
      <c r="AA28" s="179" t="s">
        <v>3312</v>
      </c>
      <c r="AB28" s="178" t="s">
        <v>3119</v>
      </c>
      <c r="AH28" s="199" t="s">
        <v>35</v>
      </c>
      <c r="AI28" s="198" t="s">
        <v>3221</v>
      </c>
    </row>
    <row r="29" spans="1:35">
      <c r="A29" s="485"/>
      <c r="B29" s="177" t="str">
        <f t="shared" si="0"/>
        <v>Pisa (elox.) - maximálna odporúčaná dĺžka profilu 2500 mm</v>
      </c>
      <c r="C29" s="170">
        <f t="shared" si="1"/>
        <v>16.084582430658681</v>
      </c>
      <c r="D29" s="170">
        <f t="shared" si="2"/>
        <v>9.1744383233532911</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3306</v>
      </c>
      <c r="N29" s="178" t="s">
        <v>3352</v>
      </c>
      <c r="O29" s="178" t="s">
        <v>3405</v>
      </c>
      <c r="P29" s="178" t="s">
        <v>3488</v>
      </c>
      <c r="Q29" s="209" t="s">
        <v>3050</v>
      </c>
      <c r="R29" s="325" t="s">
        <v>3749</v>
      </c>
      <c r="S29" s="133">
        <v>2500</v>
      </c>
      <c r="T29" s="133">
        <v>2500</v>
      </c>
      <c r="U29" s="276">
        <v>2700</v>
      </c>
      <c r="V29" s="276">
        <v>700</v>
      </c>
      <c r="AA29" s="178" t="s">
        <v>3313</v>
      </c>
      <c r="AB29" s="178" t="s">
        <v>3120</v>
      </c>
      <c r="AH29" s="199" t="s">
        <v>29</v>
      </c>
      <c r="AI29" s="198" t="s">
        <v>3222</v>
      </c>
    </row>
    <row r="30" spans="1:35">
      <c r="A30" s="485"/>
      <c r="B30" s="177" t="str">
        <f t="shared" si="0"/>
        <v>Pisa čierna matt - maximálna odporúčaná dĺžka profilu 2500 mm</v>
      </c>
      <c r="C30" s="170">
        <f t="shared" si="1"/>
        <v>20.509899529580842</v>
      </c>
      <c r="D30" s="170">
        <f t="shared" si="2"/>
        <v>9.2592215568862262</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3448</v>
      </c>
      <c r="N30" s="179" t="s">
        <v>3449</v>
      </c>
      <c r="O30" s="178" t="s">
        <v>3450</v>
      </c>
      <c r="P30" s="179" t="s">
        <v>3489</v>
      </c>
      <c r="Q30" s="209" t="s">
        <v>3451</v>
      </c>
      <c r="R30" s="325" t="s">
        <v>3750</v>
      </c>
      <c r="S30" s="133">
        <v>2500</v>
      </c>
      <c r="T30" s="133">
        <v>2500</v>
      </c>
      <c r="U30" s="276">
        <v>2700</v>
      </c>
      <c r="V30" s="276">
        <v>700</v>
      </c>
      <c r="AA30" s="178" t="s">
        <v>3314</v>
      </c>
      <c r="AB30" s="178" t="s">
        <v>3121</v>
      </c>
      <c r="AH30" s="199" t="s">
        <v>3618</v>
      </c>
      <c r="AI30" s="198" t="s">
        <v>3223</v>
      </c>
    </row>
    <row r="31" spans="1:35">
      <c r="A31" s="485"/>
      <c r="B31" s="177" t="str">
        <f t="shared" si="0"/>
        <v>Vivaro zlatá - maximálna odporúčaná dĺžka profilu 2150 mm</v>
      </c>
      <c r="C31" s="170">
        <f t="shared" si="1"/>
        <v>35.470538299401206</v>
      </c>
      <c r="D31" s="170">
        <f t="shared" si="2"/>
        <v>9.1744383233532911</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3452</v>
      </c>
      <c r="N31" s="180" t="s">
        <v>3453</v>
      </c>
      <c r="O31" s="179" t="s">
        <v>3454</v>
      </c>
      <c r="P31" s="179" t="s">
        <v>3490</v>
      </c>
      <c r="Q31" s="178" t="s">
        <v>3455</v>
      </c>
      <c r="R31" s="325" t="s">
        <v>3751</v>
      </c>
      <c r="S31" s="133">
        <v>2150</v>
      </c>
      <c r="T31" s="133">
        <v>2150</v>
      </c>
      <c r="U31" s="276">
        <v>2150</v>
      </c>
      <c r="V31" s="276">
        <v>700</v>
      </c>
      <c r="AA31" s="179" t="s">
        <v>3315</v>
      </c>
      <c r="AB31" s="178" t="s">
        <v>3117</v>
      </c>
      <c r="AH31" s="198" t="s">
        <v>3592</v>
      </c>
      <c r="AI31" s="198" t="s">
        <v>3224</v>
      </c>
    </row>
    <row r="32" spans="1:35">
      <c r="A32" s="485"/>
      <c r="B32" s="177" t="str">
        <f t="shared" si="0"/>
        <v>Siena (elox.) - maximálna odporúčaná dĺžka profilu 2500 mm</v>
      </c>
      <c r="C32" s="170">
        <f t="shared" si="1"/>
        <v>17.830824316167664</v>
      </c>
      <c r="D32" s="170">
        <f t="shared" si="2"/>
        <v>9.1744383233532911</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3307</v>
      </c>
      <c r="N32" s="179" t="s">
        <v>3353</v>
      </c>
      <c r="O32" s="178" t="s">
        <v>3406</v>
      </c>
      <c r="P32" s="179" t="s">
        <v>3491</v>
      </c>
      <c r="Q32" s="209" t="s">
        <v>3051</v>
      </c>
      <c r="R32" s="325" t="s">
        <v>3752</v>
      </c>
      <c r="S32" s="133">
        <v>2500</v>
      </c>
      <c r="T32" s="133">
        <v>2500</v>
      </c>
      <c r="U32" s="276">
        <v>2700</v>
      </c>
      <c r="V32" s="276">
        <v>700</v>
      </c>
      <c r="AA32" s="179" t="s">
        <v>4514</v>
      </c>
      <c r="AB32" s="178" t="s">
        <v>4506</v>
      </c>
      <c r="AH32" s="199" t="s">
        <v>32</v>
      </c>
      <c r="AI32" s="198" t="s">
        <v>3225</v>
      </c>
    </row>
    <row r="33" spans="1:35">
      <c r="A33" s="485"/>
      <c r="B33" s="177"/>
      <c r="C33" s="170">
        <f t="shared" si="1"/>
        <v>20.753507640718563</v>
      </c>
      <c r="D33" s="170">
        <f t="shared" si="2"/>
        <v>9.2592215568862262</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3308</v>
      </c>
      <c r="N33" s="179" t="s">
        <v>3354</v>
      </c>
      <c r="O33" s="178" t="s">
        <v>3407</v>
      </c>
      <c r="P33" s="179" t="s">
        <v>3492</v>
      </c>
      <c r="Q33" s="209" t="s">
        <v>3156</v>
      </c>
      <c r="R33" s="325" t="s">
        <v>3753</v>
      </c>
      <c r="S33" s="133">
        <v>2500</v>
      </c>
      <c r="T33" s="133">
        <v>2500</v>
      </c>
      <c r="U33" s="276">
        <v>2700</v>
      </c>
      <c r="V33" s="276">
        <v>700</v>
      </c>
      <c r="AA33" s="177" t="s">
        <v>3316</v>
      </c>
      <c r="AB33" s="178" t="s">
        <v>3122</v>
      </c>
      <c r="AH33" s="199" t="s">
        <v>36</v>
      </c>
      <c r="AI33" s="198" t="s">
        <v>3226</v>
      </c>
    </row>
    <row r="34" spans="1:35">
      <c r="A34" s="485"/>
      <c r="B34" s="177" t="str">
        <f t="shared" si="0"/>
        <v>Verona (elox.) - maximálna odporúčaná dĺžka profilu 2500 mm</v>
      </c>
      <c r="C34" s="170">
        <f t="shared" si="1"/>
        <v>10.81423530538922</v>
      </c>
      <c r="D34" s="170">
        <f t="shared" si="2"/>
        <v>7.3270562874251493</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3309</v>
      </c>
      <c r="N34" s="179" t="s">
        <v>3355</v>
      </c>
      <c r="O34" s="178" t="s">
        <v>3408</v>
      </c>
      <c r="P34" s="179" t="s">
        <v>3493</v>
      </c>
      <c r="Q34" s="209" t="s">
        <v>3052</v>
      </c>
      <c r="R34" s="325" t="s">
        <v>3754</v>
      </c>
      <c r="S34" s="133">
        <v>2500</v>
      </c>
      <c r="T34" s="133">
        <v>2500</v>
      </c>
      <c r="U34" s="276">
        <v>2500</v>
      </c>
      <c r="V34" s="276">
        <v>700</v>
      </c>
      <c r="AA34" s="179" t="s">
        <v>3317</v>
      </c>
      <c r="AB34" s="178" t="s">
        <v>3123</v>
      </c>
      <c r="AH34" s="199" t="s">
        <v>38</v>
      </c>
      <c r="AI34" s="198" t="s">
        <v>3227</v>
      </c>
    </row>
    <row r="35" spans="1:35">
      <c r="A35" s="485"/>
      <c r="B35" s="177" t="str">
        <f t="shared" si="0"/>
        <v>Verona brúsená - maximálna odporúčaná dĺžka profilu 2500 mm</v>
      </c>
      <c r="C35" s="170">
        <f t="shared" si="1"/>
        <v>16.543707736526944</v>
      </c>
      <c r="D35" s="170">
        <f t="shared" si="2"/>
        <v>7.3270562874251493</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3310</v>
      </c>
      <c r="N35" s="179" t="s">
        <v>3356</v>
      </c>
      <c r="O35" s="178" t="s">
        <v>3409</v>
      </c>
      <c r="P35" s="179" t="s">
        <v>3494</v>
      </c>
      <c r="Q35" s="209" t="s">
        <v>3157</v>
      </c>
      <c r="R35" s="325" t="s">
        <v>3755</v>
      </c>
      <c r="S35" s="133">
        <v>2500</v>
      </c>
      <c r="T35" s="133">
        <v>2500</v>
      </c>
      <c r="U35" s="276">
        <v>2500</v>
      </c>
      <c r="V35" s="276">
        <v>700</v>
      </c>
      <c r="AA35" s="179" t="s">
        <v>3318</v>
      </c>
      <c r="AB35" s="178" t="s">
        <v>3124</v>
      </c>
      <c r="AH35" s="199" t="s">
        <v>37</v>
      </c>
      <c r="AI35" s="198" t="s">
        <v>3228</v>
      </c>
    </row>
    <row r="36" spans="1:35">
      <c r="A36" s="485"/>
      <c r="B36" s="177" t="str">
        <f t="shared" si="0"/>
        <v>Verona čierna lesk - maximálna odporúčaná dĺžka profilu 2500 mm</v>
      </c>
      <c r="C36" s="170">
        <f t="shared" si="1"/>
        <v>23.090079233532936</v>
      </c>
      <c r="D36" s="170">
        <f t="shared" si="2"/>
        <v>7.4118395209580834</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3311</v>
      </c>
      <c r="N36" s="179" t="s">
        <v>3357</v>
      </c>
      <c r="O36" s="178" t="s">
        <v>3410</v>
      </c>
      <c r="P36" s="179" t="s">
        <v>3495</v>
      </c>
      <c r="Q36" s="209" t="s">
        <v>3158</v>
      </c>
      <c r="R36" s="325" t="s">
        <v>3756</v>
      </c>
      <c r="S36" s="133">
        <v>2500</v>
      </c>
      <c r="T36" s="133">
        <v>2500</v>
      </c>
      <c r="U36" s="276">
        <v>2500</v>
      </c>
      <c r="V36" s="276">
        <v>700</v>
      </c>
      <c r="AA36" s="269" t="s">
        <v>3319</v>
      </c>
      <c r="AB36" s="209" t="s">
        <v>3125</v>
      </c>
      <c r="AH36" s="199" t="s">
        <v>557</v>
      </c>
      <c r="AI36" s="198" t="s">
        <v>3229</v>
      </c>
    </row>
    <row r="37" spans="1:35">
      <c r="A37" s="485"/>
      <c r="B37" s="177" t="str">
        <f t="shared" si="0"/>
        <v>Verona čierna mat - maximálna odporúčaná dĺžka profilu 2500 mm</v>
      </c>
      <c r="C37" s="170">
        <f t="shared" si="1"/>
        <v>13.327835065868262</v>
      </c>
      <c r="D37" s="170">
        <f t="shared" si="2"/>
        <v>7.4118395209580834</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3312</v>
      </c>
      <c r="N37" s="179" t="s">
        <v>3358</v>
      </c>
      <c r="O37" s="178" t="s">
        <v>3411</v>
      </c>
      <c r="P37" s="179" t="s">
        <v>3496</v>
      </c>
      <c r="Q37" s="209" t="s">
        <v>3159</v>
      </c>
      <c r="R37" s="325" t="s">
        <v>3757</v>
      </c>
      <c r="S37" s="133">
        <v>2500</v>
      </c>
      <c r="T37" s="133">
        <v>2500</v>
      </c>
      <c r="U37" s="276">
        <v>2500</v>
      </c>
      <c r="V37" s="276">
        <v>700</v>
      </c>
      <c r="AA37" s="179" t="s">
        <v>3320</v>
      </c>
      <c r="AB37" s="178" t="s">
        <v>4523</v>
      </c>
      <c r="AH37" s="199" t="s">
        <v>30</v>
      </c>
      <c r="AI37" s="198" t="s">
        <v>3230</v>
      </c>
    </row>
    <row r="38" spans="1:35">
      <c r="A38" s="485"/>
      <c r="B38" s="177" t="str">
        <f t="shared" si="0"/>
        <v>Verona hnědá - maximálna odporúčaná dĺžka profilu 2500 mm</v>
      </c>
      <c r="C38" s="170">
        <f t="shared" si="1"/>
        <v>13.860948468502993</v>
      </c>
      <c r="D38" s="170">
        <f t="shared" si="2"/>
        <v>7.3270562874251493</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3313</v>
      </c>
      <c r="N38" s="178" t="s">
        <v>3359</v>
      </c>
      <c r="O38" s="178" t="s">
        <v>3412</v>
      </c>
      <c r="P38" s="178" t="s">
        <v>3497</v>
      </c>
      <c r="Q38" s="209" t="s">
        <v>3160</v>
      </c>
      <c r="R38" s="325" t="s">
        <v>3758</v>
      </c>
      <c r="S38" s="133">
        <v>2500</v>
      </c>
      <c r="T38" s="133">
        <v>2500</v>
      </c>
      <c r="U38" s="276">
        <v>2500</v>
      </c>
      <c r="V38" s="276">
        <v>700</v>
      </c>
      <c r="AA38" s="178" t="s">
        <v>3321</v>
      </c>
      <c r="AB38" s="178" t="s">
        <v>3126</v>
      </c>
      <c r="AH38" s="199" t="s">
        <v>3619</v>
      </c>
      <c r="AI38" s="198" t="s">
        <v>3231</v>
      </c>
    </row>
    <row r="39" spans="1:35">
      <c r="A39" s="485"/>
      <c r="B39" s="177" t="str">
        <f t="shared" si="0"/>
        <v>Verona champagne - maximálna odporúčaná dĺžka profilu 2500 mm</v>
      </c>
      <c r="C39" s="170">
        <f t="shared" si="1"/>
        <v>14.475571579401201</v>
      </c>
      <c r="D39" s="170">
        <f t="shared" si="2"/>
        <v>7.3270562874251493</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3314</v>
      </c>
      <c r="N39" s="178" t="s">
        <v>3360</v>
      </c>
      <c r="O39" s="178" t="s">
        <v>3413</v>
      </c>
      <c r="P39" s="178" t="s">
        <v>3498</v>
      </c>
      <c r="Q39" s="209" t="s">
        <v>3053</v>
      </c>
      <c r="R39" s="325" t="s">
        <v>3759</v>
      </c>
      <c r="S39" s="133">
        <v>2500</v>
      </c>
      <c r="T39" s="133">
        <v>2500</v>
      </c>
      <c r="U39" s="276">
        <v>2500</v>
      </c>
      <c r="V39" s="276">
        <v>700</v>
      </c>
      <c r="AA39" s="178" t="s">
        <v>3322</v>
      </c>
      <c r="AB39" s="178" t="s">
        <v>3172</v>
      </c>
      <c r="AH39" s="199" t="s">
        <v>3620</v>
      </c>
      <c r="AI39" s="198" t="s">
        <v>3232</v>
      </c>
    </row>
    <row r="40" spans="1:35">
      <c r="A40" s="485"/>
      <c r="B40" s="177" t="str">
        <f t="shared" si="0"/>
        <v>Verona nerez brúsená - maximálna odporúčaná dĺžka profilu 2500 mm</v>
      </c>
      <c r="C40" s="170">
        <f t="shared" si="1"/>
        <v>17.705566459401197</v>
      </c>
      <c r="D40" s="170">
        <f t="shared" si="2"/>
        <v>7.3270562874251493</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3315</v>
      </c>
      <c r="N40" s="179" t="s">
        <v>3361</v>
      </c>
      <c r="O40" s="178" t="s">
        <v>3414</v>
      </c>
      <c r="P40" s="179" t="s">
        <v>3499</v>
      </c>
      <c r="Q40" s="209" t="s">
        <v>3161</v>
      </c>
      <c r="R40" s="325" t="s">
        <v>3760</v>
      </c>
      <c r="S40" s="133">
        <v>2500</v>
      </c>
      <c r="T40" s="133">
        <v>2500</v>
      </c>
      <c r="U40" s="276">
        <v>2500</v>
      </c>
      <c r="V40" s="276">
        <v>700</v>
      </c>
      <c r="AA40" s="254" t="s">
        <v>3323</v>
      </c>
      <c r="AB40" s="209" t="s">
        <v>3170</v>
      </c>
      <c r="AH40" s="199" t="s">
        <v>33</v>
      </c>
      <c r="AI40" s="198" t="s">
        <v>33</v>
      </c>
    </row>
    <row r="41" spans="1:35">
      <c r="A41" s="485"/>
      <c r="B41" s="177" t="str">
        <f t="shared" si="0"/>
        <v>Verona svetlá nerez brúsená Acier - maximálna odporúčaná dĺžka profilu 2500 mm</v>
      </c>
      <c r="C41" s="170">
        <f t="shared" si="1"/>
        <v>17.894144004790419</v>
      </c>
      <c r="D41" s="170">
        <f t="shared" si="2"/>
        <v>7.3270562874251493</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4514</v>
      </c>
      <c r="N41" s="179" t="s">
        <v>3362</v>
      </c>
      <c r="O41" s="178" t="s">
        <v>4534</v>
      </c>
      <c r="P41" s="179" t="s">
        <v>4535</v>
      </c>
      <c r="Q41" s="209" t="s">
        <v>4515</v>
      </c>
      <c r="R41" s="325" t="s">
        <v>4516</v>
      </c>
      <c r="S41" s="133">
        <v>2500</v>
      </c>
      <c r="T41" s="133">
        <v>2500</v>
      </c>
      <c r="U41" s="276">
        <v>2500</v>
      </c>
      <c r="V41" s="276">
        <v>700</v>
      </c>
      <c r="AA41" s="254" t="s">
        <v>3457</v>
      </c>
      <c r="AB41" s="209" t="s">
        <v>3127</v>
      </c>
      <c r="AH41" s="199" t="s">
        <v>34</v>
      </c>
      <c r="AI41" s="198" t="s">
        <v>34</v>
      </c>
    </row>
    <row r="42" spans="1:35">
      <c r="A42" s="485"/>
      <c r="B42" s="177" t="str">
        <f t="shared" si="0"/>
        <v>Rocca čierna mat - maximálna odporúčaná dĺžka profilu 2150 mm</v>
      </c>
      <c r="C42" s="170">
        <f t="shared" si="1"/>
        <v>25.319033718035932</v>
      </c>
      <c r="D42" s="170">
        <f t="shared" si="2"/>
        <v>7.0414706586826341</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3316</v>
      </c>
      <c r="N42" s="179" t="s">
        <v>3363</v>
      </c>
      <c r="O42" s="178" t="s">
        <v>3415</v>
      </c>
      <c r="P42" s="179" t="s">
        <v>3500</v>
      </c>
      <c r="Q42" s="209" t="s">
        <v>2564</v>
      </c>
      <c r="R42" s="325" t="s">
        <v>3761</v>
      </c>
      <c r="S42" s="133">
        <v>2150</v>
      </c>
      <c r="T42" s="133">
        <v>2150</v>
      </c>
      <c r="U42" s="276">
        <v>2150</v>
      </c>
      <c r="V42" s="276">
        <v>700</v>
      </c>
      <c r="AA42" s="178" t="s">
        <v>3324</v>
      </c>
      <c r="AB42" s="178" t="s">
        <v>3128</v>
      </c>
      <c r="AH42" s="199" t="s">
        <v>3621</v>
      </c>
      <c r="AI42" s="198" t="s">
        <v>3233</v>
      </c>
    </row>
    <row r="43" spans="1:35">
      <c r="A43" s="485"/>
      <c r="B43" s="177" t="str">
        <f t="shared" si="0"/>
        <v>Vivaro (elox.) - maximálna odporúčaná dĺžka profilu 2500 mm</v>
      </c>
      <c r="C43" s="170">
        <f t="shared" si="1"/>
        <v>18.503164282634732</v>
      </c>
      <c r="D43" s="170">
        <f t="shared" si="2"/>
        <v>9.1744383233532911</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3317</v>
      </c>
      <c r="N43" s="179" t="s">
        <v>3364</v>
      </c>
      <c r="O43" s="178" t="s">
        <v>3416</v>
      </c>
      <c r="P43" s="179" t="s">
        <v>3501</v>
      </c>
      <c r="Q43" s="209" t="s">
        <v>3456</v>
      </c>
      <c r="R43" s="325" t="s">
        <v>3762</v>
      </c>
      <c r="S43" s="133">
        <v>2500</v>
      </c>
      <c r="T43" s="133">
        <v>2500</v>
      </c>
      <c r="U43" s="276">
        <v>2700</v>
      </c>
      <c r="V43" s="276">
        <v>700</v>
      </c>
      <c r="AA43" s="178" t="s">
        <v>3325</v>
      </c>
      <c r="AB43" s="178" t="s">
        <v>3129</v>
      </c>
      <c r="AH43" s="199" t="s">
        <v>3622</v>
      </c>
      <c r="AI43" s="198" t="s">
        <v>3234</v>
      </c>
    </row>
    <row r="44" spans="1:35">
      <c r="A44" s="485"/>
      <c r="B44" s="177" t="str">
        <f t="shared" si="0"/>
        <v>Vivaro čierne mat - maximálna odporúčaná dĺžka profilu 2500 mm</v>
      </c>
      <c r="C44" s="170">
        <f t="shared" si="1"/>
        <v>24.564969140119761</v>
      </c>
      <c r="D44" s="170">
        <f t="shared" si="2"/>
        <v>9.2592215568862262</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3318</v>
      </c>
      <c r="N44" s="179" t="s">
        <v>3365</v>
      </c>
      <c r="O44" s="178" t="s">
        <v>3417</v>
      </c>
      <c r="P44" s="179" t="s">
        <v>3502</v>
      </c>
      <c r="Q44" s="209" t="s">
        <v>3162</v>
      </c>
      <c r="R44" s="325" t="s">
        <v>3763</v>
      </c>
      <c r="S44" s="133">
        <v>2500</v>
      </c>
      <c r="T44" s="133">
        <v>2500</v>
      </c>
      <c r="U44" s="276">
        <v>2700</v>
      </c>
      <c r="V44" s="276">
        <v>700</v>
      </c>
      <c r="AA44" s="209" t="s">
        <v>3326</v>
      </c>
      <c r="AB44" s="209" t="s">
        <v>2568</v>
      </c>
      <c r="AH44" s="199" t="s">
        <v>31</v>
      </c>
      <c r="AI44" s="198" t="s">
        <v>31</v>
      </c>
    </row>
    <row r="45" spans="1:35">
      <c r="A45" s="485"/>
      <c r="B45" s="177" t="str">
        <f t="shared" si="0"/>
        <v>Imola zlatá - maximálna odporúčaná dĺžka profilu 2150 mm</v>
      </c>
      <c r="C45" s="170">
        <f t="shared" si="1"/>
        <v>35.232609772455092</v>
      </c>
      <c r="D45" s="170">
        <f t="shared" si="2"/>
        <v>9.1744383233532911</v>
      </c>
      <c r="E45" s="170">
        <v>1019.4104988</v>
      </c>
      <c r="F45" s="170">
        <v>264.79223999999994</v>
      </c>
      <c r="G45" s="170">
        <v>35.232609772455092</v>
      </c>
      <c r="H45" s="170">
        <v>9.1744383233532911</v>
      </c>
      <c r="I45" s="170">
        <v>137.97390420000002</v>
      </c>
      <c r="J45" s="170">
        <v>41.633999999999993</v>
      </c>
      <c r="K45" s="170">
        <v>12855.73967419355</v>
      </c>
      <c r="L45" s="170">
        <v>3561.7215483870959</v>
      </c>
      <c r="M45" s="269" t="s">
        <v>3319</v>
      </c>
      <c r="N45" s="180" t="s">
        <v>3366</v>
      </c>
      <c r="O45" s="209" t="s">
        <v>3418</v>
      </c>
      <c r="P45" s="178" t="s">
        <v>3503</v>
      </c>
      <c r="Q45" s="178" t="s">
        <v>3289</v>
      </c>
      <c r="R45" s="325" t="s">
        <v>3764</v>
      </c>
      <c r="S45" s="133">
        <v>2150</v>
      </c>
      <c r="T45" s="133">
        <v>2150</v>
      </c>
      <c r="U45" s="276">
        <v>2150</v>
      </c>
      <c r="V45" s="276">
        <v>700</v>
      </c>
      <c r="AA45" s="209" t="s">
        <v>3327</v>
      </c>
      <c r="AB45" s="209" t="s">
        <v>3171</v>
      </c>
      <c r="AH45" s="199" t="s">
        <v>39</v>
      </c>
      <c r="AI45" s="198" t="s">
        <v>39</v>
      </c>
    </row>
    <row r="46" spans="1:35">
      <c r="A46" s="485"/>
      <c r="B46" s="177" t="str">
        <f t="shared" si="0"/>
        <v>Vivaro tmavá nerez br. (inox lija) - maximálna odporúčaná dĺžka profilu 2500 mm</v>
      </c>
      <c r="C46" s="170">
        <f t="shared" si="1"/>
        <v>22.29674276694611</v>
      </c>
      <c r="D46" s="170">
        <f t="shared" si="2"/>
        <v>9.1744383233532911</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3320</v>
      </c>
      <c r="N46" s="179" t="s">
        <v>3367</v>
      </c>
      <c r="O46" s="178" t="s">
        <v>4536</v>
      </c>
      <c r="P46" s="179" t="s">
        <v>4544</v>
      </c>
      <c r="Q46" s="209" t="s">
        <v>3163</v>
      </c>
      <c r="R46" s="325" t="s">
        <v>3765</v>
      </c>
      <c r="S46" s="133">
        <v>2500</v>
      </c>
      <c r="T46" s="133">
        <v>2500</v>
      </c>
      <c r="U46" s="276">
        <v>2700</v>
      </c>
      <c r="V46" s="276">
        <v>700</v>
      </c>
      <c r="AA46" s="209" t="s">
        <v>3328</v>
      </c>
      <c r="AB46" s="209" t="s">
        <v>3130</v>
      </c>
      <c r="AH46" s="199" t="s">
        <v>40</v>
      </c>
      <c r="AI46" s="198" t="s">
        <v>3235</v>
      </c>
    </row>
    <row r="47" spans="1:35">
      <c r="A47" s="485"/>
      <c r="B47" s="177" t="str">
        <f t="shared" si="0"/>
        <v>Vivaro biela matt RAL 9003 - maximálna odporúčaná dĺžka profilu 2500 mm</v>
      </c>
      <c r="C47" s="170">
        <f t="shared" si="1"/>
        <v>35.125541935329338</v>
      </c>
      <c r="D47" s="170">
        <f t="shared" si="2"/>
        <v>9.1744383233532911</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3321</v>
      </c>
      <c r="N47" s="178" t="s">
        <v>3368</v>
      </c>
      <c r="O47" s="178" t="s">
        <v>3419</v>
      </c>
      <c r="P47" s="178" t="s">
        <v>3504</v>
      </c>
      <c r="Q47" s="209" t="s">
        <v>3164</v>
      </c>
      <c r="R47" s="325" t="s">
        <v>3766</v>
      </c>
      <c r="S47" s="133">
        <v>2500</v>
      </c>
      <c r="T47" s="133">
        <v>2500</v>
      </c>
      <c r="U47" s="276">
        <v>2700</v>
      </c>
      <c r="V47" s="276">
        <v>700</v>
      </c>
      <c r="AA47" s="209" t="s">
        <v>3329</v>
      </c>
      <c r="AB47" s="209" t="s">
        <v>3131</v>
      </c>
      <c r="AH47" s="199" t="s">
        <v>41</v>
      </c>
      <c r="AI47" s="198" t="s">
        <v>3236</v>
      </c>
    </row>
    <row r="48" spans="1:35">
      <c r="A48" s="485"/>
      <c r="B48" s="177" t="str">
        <f t="shared" si="0"/>
        <v>Vivaro biela lesk RAL 9003 - maximálna odporúčaná dĺžka profilu 2500 mm</v>
      </c>
      <c r="C48" s="170">
        <f t="shared" si="1"/>
        <v>35.125541935329338</v>
      </c>
      <c r="D48" s="170">
        <f t="shared" si="2"/>
        <v>9.1744383233532911</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3322</v>
      </c>
      <c r="N48" s="178" t="s">
        <v>3369</v>
      </c>
      <c r="O48" s="178" t="s">
        <v>3420</v>
      </c>
      <c r="P48" s="178" t="s">
        <v>3505</v>
      </c>
      <c r="Q48" s="209" t="s">
        <v>3139</v>
      </c>
      <c r="R48" s="325" t="s">
        <v>3767</v>
      </c>
      <c r="S48" s="133">
        <v>2500</v>
      </c>
      <c r="T48" s="133">
        <v>2500</v>
      </c>
      <c r="U48" s="276">
        <v>2700</v>
      </c>
      <c r="V48" s="276">
        <v>700</v>
      </c>
      <c r="AA48" s="209" t="s">
        <v>3330</v>
      </c>
      <c r="AB48" s="209" t="s">
        <v>3132</v>
      </c>
      <c r="AH48" s="199" t="s">
        <v>46</v>
      </c>
      <c r="AI48" s="198" t="s">
        <v>3237</v>
      </c>
    </row>
    <row r="49" spans="1:37">
      <c r="A49" s="485"/>
      <c r="B49" s="177" t="str">
        <f t="shared" si="0"/>
        <v>Varna - maximálna odporúčaná dĺžka profilu 2500 mm</v>
      </c>
      <c r="C49" s="170">
        <f t="shared" si="1"/>
        <v>14.725540023952098</v>
      </c>
      <c r="D49" s="170">
        <f t="shared" si="2"/>
        <v>0</v>
      </c>
      <c r="E49" s="170">
        <v>426.06466560000007</v>
      </c>
      <c r="F49" s="170">
        <v>0</v>
      </c>
      <c r="G49" s="170">
        <v>14.725540023952098</v>
      </c>
      <c r="H49" s="170">
        <v>0</v>
      </c>
      <c r="I49" s="170">
        <v>57.666470400000009</v>
      </c>
      <c r="J49" s="170">
        <v>0</v>
      </c>
      <c r="K49" s="170">
        <v>5373.0822193548402</v>
      </c>
      <c r="L49" s="170">
        <v>0</v>
      </c>
      <c r="M49" s="254" t="s">
        <v>3323</v>
      </c>
      <c r="N49" s="178" t="s">
        <v>3370</v>
      </c>
      <c r="O49" s="209" t="s">
        <v>3421</v>
      </c>
      <c r="P49" s="178" t="s">
        <v>3506</v>
      </c>
      <c r="Q49" s="209" t="s">
        <v>3054</v>
      </c>
      <c r="R49" s="325" t="s">
        <v>3768</v>
      </c>
      <c r="S49" s="133">
        <v>2500</v>
      </c>
      <c r="T49" s="133">
        <v>2500</v>
      </c>
      <c r="U49" s="276">
        <v>1200</v>
      </c>
      <c r="V49" s="276">
        <v>700</v>
      </c>
      <c r="AA49" s="177" t="s">
        <v>3461</v>
      </c>
      <c r="AB49" s="209" t="s">
        <v>3133</v>
      </c>
      <c r="AH49" s="200" t="s">
        <v>3623</v>
      </c>
      <c r="AI49" s="200" t="s">
        <v>3238</v>
      </c>
    </row>
    <row r="50" spans="1:37">
      <c r="A50" s="485"/>
      <c r="B50" s="177" t="str">
        <f t="shared" si="0"/>
        <v>Rocca (elox.) - maximálna odporúčaná dĺžka profilu 2150 mm</v>
      </c>
      <c r="C50" s="170">
        <f t="shared" si="1"/>
        <v>16.979162991520958</v>
      </c>
      <c r="D50" s="170">
        <f t="shared" si="2"/>
        <v>7.0414706586826341</v>
      </c>
      <c r="E50" s="170">
        <v>491.2703636256</v>
      </c>
      <c r="F50" s="170">
        <v>203.23061999999999</v>
      </c>
      <c r="G50" s="170">
        <v>16.979162991520958</v>
      </c>
      <c r="H50" s="170">
        <v>7.0414706586826341</v>
      </c>
      <c r="I50" s="170">
        <v>66.491850110400009</v>
      </c>
      <c r="J50" s="170">
        <v>31.954500000000003</v>
      </c>
      <c r="K50" s="170">
        <v>6195.388326735485</v>
      </c>
      <c r="L50" s="170">
        <v>2733.655935483871</v>
      </c>
      <c r="M50" s="254" t="s">
        <v>3457</v>
      </c>
      <c r="N50" s="209" t="s">
        <v>3458</v>
      </c>
      <c r="O50" s="209" t="s">
        <v>3459</v>
      </c>
      <c r="P50" s="178" t="s">
        <v>3507</v>
      </c>
      <c r="Q50" s="209" t="s">
        <v>3460</v>
      </c>
      <c r="R50" s="325" t="s">
        <v>3769</v>
      </c>
      <c r="S50" s="133">
        <v>2150</v>
      </c>
      <c r="T50" s="133">
        <v>2150</v>
      </c>
      <c r="U50" s="276">
        <v>2150</v>
      </c>
      <c r="V50" s="276">
        <v>700</v>
      </c>
      <c r="AA50" s="177" t="s">
        <v>3465</v>
      </c>
      <c r="AB50" s="209" t="s">
        <v>3134</v>
      </c>
      <c r="AH50" s="199" t="s">
        <v>48</v>
      </c>
      <c r="AI50" s="198" t="s">
        <v>3239</v>
      </c>
    </row>
    <row r="51" spans="1:37">
      <c r="A51" s="485"/>
      <c r="B51" s="177" t="str">
        <f t="shared" si="0"/>
        <v>Předěl</v>
      </c>
      <c r="C51" s="170"/>
      <c r="D51" s="170"/>
      <c r="E51" s="270">
        <v>1365.7451303124719</v>
      </c>
      <c r="F51" s="270">
        <v>279.98393904000005</v>
      </c>
      <c r="G51" s="270">
        <v>46.553393837395696</v>
      </c>
      <c r="H51" s="270">
        <v>9.6840045323741002</v>
      </c>
      <c r="I51" s="270">
        <v>199.68128812800003</v>
      </c>
      <c r="J51" s="270">
        <v>42.3683136</v>
      </c>
      <c r="K51" s="270">
        <v>18261.972828358434</v>
      </c>
      <c r="L51" s="270">
        <v>3483.29711790393</v>
      </c>
      <c r="M51" s="209" t="s">
        <v>1206</v>
      </c>
      <c r="N51" s="209" t="s">
        <v>1206</v>
      </c>
      <c r="O51" s="209" t="s">
        <v>1206</v>
      </c>
      <c r="P51" s="178" t="s">
        <v>1206</v>
      </c>
      <c r="Q51" s="209" t="s">
        <v>1206</v>
      </c>
      <c r="R51" s="325"/>
      <c r="AA51" s="185" t="s">
        <v>3331</v>
      </c>
      <c r="AB51" s="185" t="s">
        <v>3135</v>
      </c>
      <c r="AH51" s="199" t="s">
        <v>47</v>
      </c>
      <c r="AI51" s="198" t="s">
        <v>3240</v>
      </c>
    </row>
    <row r="52" spans="1:37">
      <c r="A52" s="485"/>
      <c r="B52" s="177" t="str">
        <f t="shared" si="0"/>
        <v>Pisa biela mat RAL 9003 - maximálna odporúčaná dĺžka profilu 2500 mm</v>
      </c>
      <c r="C52" s="170">
        <f t="shared" si="1"/>
        <v>31.757702011976054</v>
      </c>
      <c r="D52" s="170">
        <f t="shared" si="2"/>
        <v>9.1744383233532911</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3324</v>
      </c>
      <c r="N52" s="178" t="s">
        <v>3371</v>
      </c>
      <c r="O52" s="178" t="s">
        <v>3422</v>
      </c>
      <c r="P52" s="178" t="s">
        <v>3508</v>
      </c>
      <c r="Q52" s="209" t="s">
        <v>3165</v>
      </c>
      <c r="R52" s="325" t="s">
        <v>3770</v>
      </c>
      <c r="S52" s="133">
        <v>2500</v>
      </c>
      <c r="T52" s="133">
        <v>2500</v>
      </c>
      <c r="U52" s="276">
        <v>2700</v>
      </c>
      <c r="V52" s="276">
        <v>700</v>
      </c>
      <c r="AA52" s="185" t="s">
        <v>3332</v>
      </c>
      <c r="AB52" s="185" t="s">
        <v>3136</v>
      </c>
      <c r="AH52" s="198" t="s">
        <v>386</v>
      </c>
      <c r="AI52" s="198" t="s">
        <v>387</v>
      </c>
    </row>
    <row r="53" spans="1:37">
      <c r="A53" s="485"/>
      <c r="B53" s="177" t="str">
        <f t="shared" si="0"/>
        <v>Pisa biela lesk RAL 9003 - maximálna odporúčaná dĺžka profilu 2500 mm</v>
      </c>
      <c r="C53" s="170">
        <f t="shared" si="1"/>
        <v>31.757702011976054</v>
      </c>
      <c r="D53" s="170">
        <f t="shared" si="2"/>
        <v>9.1744383233532911</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3325</v>
      </c>
      <c r="N53" s="178" t="s">
        <v>3372</v>
      </c>
      <c r="O53" s="178" t="s">
        <v>3423</v>
      </c>
      <c r="P53" s="178" t="s">
        <v>3509</v>
      </c>
      <c r="Q53" s="209" t="s">
        <v>3166</v>
      </c>
      <c r="R53" s="325" t="s">
        <v>3771</v>
      </c>
      <c r="S53" s="133">
        <v>2500</v>
      </c>
      <c r="T53" s="133">
        <v>2500</v>
      </c>
      <c r="U53" s="276">
        <v>2700</v>
      </c>
      <c r="V53" s="276">
        <v>700</v>
      </c>
      <c r="AA53" s="185" t="s">
        <v>3333</v>
      </c>
      <c r="AB53" s="185" t="s">
        <v>3137</v>
      </c>
      <c r="AH53" s="198" t="s">
        <v>548</v>
      </c>
      <c r="AI53" s="198" t="s">
        <v>3200</v>
      </c>
    </row>
    <row r="54" spans="1:37">
      <c r="A54" s="485"/>
      <c r="B54" s="177" t="str">
        <f t="shared" si="0"/>
        <v>Varna čierna - maximálna odporúčaná dĺžka profilu 1200 mm</v>
      </c>
      <c r="C54" s="170">
        <f t="shared" si="1"/>
        <v>21.023137724550896</v>
      </c>
      <c r="D54" s="170">
        <f t="shared" si="2"/>
        <v>0</v>
      </c>
      <c r="E54" s="170">
        <v>608.27760000000001</v>
      </c>
      <c r="F54" s="170">
        <v>0</v>
      </c>
      <c r="G54" s="170">
        <v>21.023137724550896</v>
      </c>
      <c r="H54" s="170">
        <v>0</v>
      </c>
      <c r="I54" s="170">
        <v>82.328400000000002</v>
      </c>
      <c r="J54" s="170">
        <v>0</v>
      </c>
      <c r="K54" s="170">
        <v>7670.9612903225816</v>
      </c>
      <c r="L54" s="170">
        <v>0</v>
      </c>
      <c r="M54" s="209" t="s">
        <v>3326</v>
      </c>
      <c r="N54" s="178" t="s">
        <v>3373</v>
      </c>
      <c r="O54" s="209" t="s">
        <v>3424</v>
      </c>
      <c r="P54" s="178" t="s">
        <v>3510</v>
      </c>
      <c r="Q54" s="209" t="s">
        <v>2565</v>
      </c>
      <c r="R54" s="325" t="s">
        <v>3772</v>
      </c>
      <c r="S54" s="133">
        <v>1200</v>
      </c>
      <c r="T54" s="133">
        <v>1200</v>
      </c>
      <c r="U54" s="276">
        <v>1200</v>
      </c>
      <c r="V54" s="276">
        <v>700</v>
      </c>
      <c r="AA54" s="185" t="s">
        <v>3334</v>
      </c>
      <c r="AB54" s="185" t="s">
        <v>2599</v>
      </c>
      <c r="AH54" s="198" t="s">
        <v>863</v>
      </c>
      <c r="AI54" s="198" t="s">
        <v>3203</v>
      </c>
      <c r="AJ54" s="198"/>
      <c r="AK54" s="199"/>
    </row>
    <row r="55" spans="1:37">
      <c r="A55" s="485"/>
      <c r="B55" s="177" t="str">
        <f t="shared" si="0"/>
        <v>BRW zlatá brúsená - maximálna odporúčaná dĺžka profilu 2500 mm</v>
      </c>
      <c r="C55" s="170">
        <f t="shared" si="1"/>
        <v>31.963845556886227</v>
      </c>
      <c r="D55" s="170">
        <f t="shared" si="2"/>
        <v>7.3270562874251493</v>
      </c>
      <c r="E55" s="170">
        <v>924.83298719999993</v>
      </c>
      <c r="F55" s="170">
        <v>211.47318000000001</v>
      </c>
      <c r="G55" s="170">
        <v>31.963845556886227</v>
      </c>
      <c r="H55" s="170">
        <v>7.3270562874251493</v>
      </c>
      <c r="I55" s="170">
        <v>125.1731448</v>
      </c>
      <c r="J55" s="170">
        <v>33.250500000000002</v>
      </c>
      <c r="K55" s="170">
        <v>11663.02695483871</v>
      </c>
      <c r="L55" s="170">
        <v>2844.5266451612906</v>
      </c>
      <c r="M55" s="209" t="s">
        <v>3327</v>
      </c>
      <c r="N55" s="178" t="s">
        <v>3374</v>
      </c>
      <c r="O55" s="209" t="s">
        <v>3425</v>
      </c>
      <c r="P55" s="178" t="s">
        <v>3511</v>
      </c>
      <c r="Q55" s="209" t="s">
        <v>3167</v>
      </c>
      <c r="R55" s="325" t="s">
        <v>3773</v>
      </c>
      <c r="S55" s="133">
        <v>2500</v>
      </c>
      <c r="T55" s="133">
        <v>2500</v>
      </c>
      <c r="U55" s="276">
        <v>2700</v>
      </c>
      <c r="V55" s="276">
        <v>700</v>
      </c>
      <c r="AA55" s="185" t="s">
        <v>3335</v>
      </c>
      <c r="AB55" s="185" t="s">
        <v>3138</v>
      </c>
      <c r="AH55" s="198" t="s">
        <v>811</v>
      </c>
      <c r="AI55" s="198" t="s">
        <v>3204</v>
      </c>
      <c r="AJ55" s="198"/>
      <c r="AK55" s="199"/>
    </row>
    <row r="56" spans="1:37">
      <c r="A56" s="485"/>
      <c r="B56" s="177" t="str">
        <f t="shared" si="0"/>
        <v>Verona zlatá brúsená - maximálna odporúčaná dĺžka profilu 2150 mm</v>
      </c>
      <c r="C56" s="170">
        <f t="shared" si="1"/>
        <v>29.129359300598797</v>
      </c>
      <c r="D56" s="170">
        <f t="shared" si="2"/>
        <v>7.3270562874251493</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9" t="s">
        <v>3328</v>
      </c>
      <c r="N56" s="178" t="s">
        <v>3375</v>
      </c>
      <c r="O56" s="209" t="s">
        <v>3426</v>
      </c>
      <c r="P56" s="178" t="s">
        <v>3512</v>
      </c>
      <c r="Q56" s="209" t="s">
        <v>2566</v>
      </c>
      <c r="R56" s="325" t="s">
        <v>3774</v>
      </c>
      <c r="S56" s="133">
        <v>2150</v>
      </c>
      <c r="T56" s="133">
        <v>2150</v>
      </c>
      <c r="U56" s="276">
        <v>2150</v>
      </c>
      <c r="V56" s="276">
        <v>700</v>
      </c>
      <c r="AA56" s="185" t="s">
        <v>3336</v>
      </c>
      <c r="AB56" s="185" t="s">
        <v>3173</v>
      </c>
      <c r="AH56" s="198" t="s">
        <v>392</v>
      </c>
      <c r="AI56" s="198" t="s">
        <v>3211</v>
      </c>
    </row>
    <row r="57" spans="1:37">
      <c r="A57" s="485"/>
      <c r="B57" s="177" t="str">
        <f t="shared" si="0"/>
        <v>Vivaro zlatá brúsená - maximálna odporúčaná dĺžka profilu 2150 mm</v>
      </c>
      <c r="C57" s="170">
        <f t="shared" si="1"/>
        <v>42.213125748502996</v>
      </c>
      <c r="D57" s="170">
        <f t="shared" si="2"/>
        <v>9.1744383233532911</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9" t="s">
        <v>3329</v>
      </c>
      <c r="N57" s="178" t="s">
        <v>3376</v>
      </c>
      <c r="O57" s="209" t="s">
        <v>3427</v>
      </c>
      <c r="P57" s="178" t="s">
        <v>3513</v>
      </c>
      <c r="Q57" s="209" t="s">
        <v>2567</v>
      </c>
      <c r="R57" s="325" t="s">
        <v>3775</v>
      </c>
      <c r="S57" s="133">
        <v>2150</v>
      </c>
      <c r="T57" s="133">
        <v>2150</v>
      </c>
      <c r="U57" s="276">
        <v>2150</v>
      </c>
      <c r="V57" s="276">
        <v>700</v>
      </c>
      <c r="AA57" s="178" t="s">
        <v>3337</v>
      </c>
      <c r="AB57" s="178" t="s">
        <v>3098</v>
      </c>
      <c r="AH57" s="198" t="s">
        <v>865</v>
      </c>
      <c r="AI57" s="198" t="s">
        <v>3212</v>
      </c>
    </row>
    <row r="58" spans="1:37">
      <c r="A58" s="485"/>
      <c r="B58" s="177" t="str">
        <f t="shared" si="0"/>
        <v>Pisa zlatá - maximálna odporúčaná dĺžka profilu 2150 mm</v>
      </c>
      <c r="C58" s="170">
        <f t="shared" si="1"/>
        <v>29.202579885988026</v>
      </c>
      <c r="D58" s="170">
        <f t="shared" si="2"/>
        <v>9.1744383233532911</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9" t="s">
        <v>3330</v>
      </c>
      <c r="N58" s="209" t="s">
        <v>3377</v>
      </c>
      <c r="O58" s="209" t="s">
        <v>3384</v>
      </c>
      <c r="P58" s="178" t="s">
        <v>3514</v>
      </c>
      <c r="Q58" s="209" t="s">
        <v>2598</v>
      </c>
      <c r="R58" s="325" t="s">
        <v>3776</v>
      </c>
      <c r="S58" s="133">
        <v>2150</v>
      </c>
      <c r="T58" s="133">
        <v>2150</v>
      </c>
      <c r="U58" s="276">
        <v>2150</v>
      </c>
      <c r="V58" s="276">
        <v>700</v>
      </c>
      <c r="AA58" s="178" t="s">
        <v>3338</v>
      </c>
      <c r="AB58" s="178" t="s">
        <v>3169</v>
      </c>
      <c r="AH58" s="198" t="s">
        <v>859</v>
      </c>
      <c r="AI58" s="198" t="s">
        <v>3213</v>
      </c>
      <c r="AJ58" s="198"/>
      <c r="AK58" s="199"/>
    </row>
    <row r="59" spans="1:37">
      <c r="A59" s="485"/>
      <c r="B59" s="177" t="str">
        <f t="shared" si="0"/>
        <v>ASTI čierna mat - maximálna odporúčaná dĺžka profilu 2150</v>
      </c>
      <c r="C59" s="170">
        <f t="shared" si="1"/>
        <v>24.526994011976043</v>
      </c>
      <c r="D59" s="170">
        <f t="shared" si="2"/>
        <v>7.4118395209580834</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3461</v>
      </c>
      <c r="N59" s="209" t="s">
        <v>3462</v>
      </c>
      <c r="O59" s="209" t="s">
        <v>3463</v>
      </c>
      <c r="P59" s="178" t="s">
        <v>3515</v>
      </c>
      <c r="Q59" s="177" t="s">
        <v>3464</v>
      </c>
      <c r="R59" s="325" t="s">
        <v>3777</v>
      </c>
      <c r="S59" s="133">
        <v>2150</v>
      </c>
      <c r="T59" s="133">
        <v>2150</v>
      </c>
      <c r="U59" s="276">
        <v>2150</v>
      </c>
      <c r="V59" s="276">
        <v>700</v>
      </c>
      <c r="AA59" s="178" t="s">
        <v>3339</v>
      </c>
      <c r="AB59" s="178" t="s">
        <v>3099</v>
      </c>
      <c r="AH59" s="198" t="s">
        <v>3594</v>
      </c>
      <c r="AI59" s="198" t="s">
        <v>3220</v>
      </c>
      <c r="AJ59" s="198"/>
      <c r="AK59" s="199"/>
    </row>
    <row r="60" spans="1:37">
      <c r="A60" s="485"/>
      <c r="B60" s="177" t="str">
        <f t="shared" si="0"/>
        <v>ASTI antracit RAL 7021 mat - maximálna odporúčaná dĺžka profilu 2500 mm</v>
      </c>
      <c r="C60" s="170">
        <f t="shared" si="1"/>
        <v>36.405066826347309</v>
      </c>
      <c r="D60" s="170">
        <f t="shared" si="2"/>
        <v>7.4118395209580834</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3465</v>
      </c>
      <c r="N60" s="177" t="s">
        <v>3466</v>
      </c>
      <c r="O60" s="209" t="s">
        <v>3467</v>
      </c>
      <c r="P60" s="177" t="s">
        <v>3516</v>
      </c>
      <c r="Q60" s="177" t="s">
        <v>3468</v>
      </c>
      <c r="R60" s="325" t="s">
        <v>3778</v>
      </c>
      <c r="S60" s="133">
        <v>2500</v>
      </c>
      <c r="T60" s="133">
        <v>2500</v>
      </c>
      <c r="U60" s="276">
        <v>2500</v>
      </c>
      <c r="V60" s="276">
        <v>700</v>
      </c>
      <c r="AA60" s="178" t="s">
        <v>3429</v>
      </c>
      <c r="AB60" s="178" t="s">
        <v>3100</v>
      </c>
      <c r="AH60" s="198" t="s">
        <v>3645</v>
      </c>
      <c r="AI60" s="198" t="s">
        <v>3223</v>
      </c>
      <c r="AJ60" s="198"/>
      <c r="AK60" s="199"/>
    </row>
    <row r="61" spans="1:37" ht="15.75" thickBot="1">
      <c r="A61" s="485"/>
      <c r="B61" s="177" t="str">
        <f t="shared" si="0"/>
        <v>Modena hnědá - maximálna odporúčaná dĺžka profilu 2500 mm</v>
      </c>
      <c r="C61" s="170">
        <f t="shared" ref="C61:C65" si="3">IF($D$1=1,E61,IF(OR($D$1=2,$D$1=5,),G61,IF($D$1=3,I61,IF($D$1=4,K61,IF($D$1=6,G61*1.3,0)))))</f>
        <v>22.78707344</v>
      </c>
      <c r="D61" s="170">
        <f t="shared" ref="D61:D65" si="4">IF($D$1=1,F61,IF(OR($D$1=2,$D$1=5),H61,IF($D$1=3,J61,IF($D$1=4,L61,IF($D$1=6,H61*1.3,0)))))</f>
        <v>9.7579918029999995</v>
      </c>
      <c r="E61" s="480">
        <v>620.15896799999996</v>
      </c>
      <c r="F61" s="481">
        <v>266.66640000000001</v>
      </c>
      <c r="G61" s="481">
        <v>22.78707344</v>
      </c>
      <c r="H61" s="481">
        <v>9.7579918029999995</v>
      </c>
      <c r="I61" s="481">
        <v>87.857100000000003</v>
      </c>
      <c r="J61" s="481">
        <v>39.127499999999998</v>
      </c>
      <c r="K61" s="481">
        <v>8327.4112150000001</v>
      </c>
      <c r="L61" s="481">
        <v>3560.2990650000002</v>
      </c>
      <c r="M61" s="178" t="s">
        <v>4464</v>
      </c>
      <c r="N61" s="178" t="s">
        <v>4465</v>
      </c>
      <c r="O61" s="178" t="s">
        <v>4466</v>
      </c>
      <c r="P61" s="178" t="s">
        <v>4467</v>
      </c>
      <c r="Q61" s="209" t="s">
        <v>4468</v>
      </c>
      <c r="R61" s="325" t="s">
        <v>4469</v>
      </c>
      <c r="S61" s="133">
        <v>2500</v>
      </c>
      <c r="T61" s="133">
        <v>2500</v>
      </c>
      <c r="U61" s="276">
        <v>2500</v>
      </c>
      <c r="V61" s="276">
        <v>700</v>
      </c>
      <c r="AA61" s="178" t="s">
        <v>3340</v>
      </c>
      <c r="AB61" s="178" t="s">
        <v>3101</v>
      </c>
      <c r="AH61" s="198" t="s">
        <v>3646</v>
      </c>
      <c r="AI61" s="198" t="s">
        <v>3224</v>
      </c>
      <c r="AJ61" s="198"/>
      <c r="AK61" s="199"/>
    </row>
    <row r="62" spans="1:37" ht="15.75" thickBot="1">
      <c r="A62" s="485"/>
      <c r="B62" s="177" t="str">
        <f t="shared" si="0"/>
        <v>Verona Ivory mat - maximálna odporúčaná dĺžka profilu 2150 mm</v>
      </c>
      <c r="C62" s="170">
        <f t="shared" si="3"/>
        <v>15.77285311</v>
      </c>
      <c r="D62" s="170">
        <f t="shared" si="4"/>
        <v>7.7947893439999998</v>
      </c>
      <c r="E62" s="480">
        <v>429.26426400000003</v>
      </c>
      <c r="F62" s="481">
        <v>213.0160032</v>
      </c>
      <c r="G62" s="481">
        <v>15.77285311</v>
      </c>
      <c r="H62" s="481">
        <v>7.7947893439999998</v>
      </c>
      <c r="I62" s="481">
        <v>60.813299999999998</v>
      </c>
      <c r="J62" s="481">
        <v>31.255469999999999</v>
      </c>
      <c r="K62" s="481">
        <v>5764.1028040000001</v>
      </c>
      <c r="L62" s="481">
        <v>2844.0053830000002</v>
      </c>
      <c r="M62" s="209" t="s">
        <v>4470</v>
      </c>
      <c r="N62" s="178" t="s">
        <v>4471</v>
      </c>
      <c r="O62" s="209" t="s">
        <v>4472</v>
      </c>
      <c r="P62" s="178" t="s">
        <v>4473</v>
      </c>
      <c r="Q62" s="209" t="s">
        <v>4474</v>
      </c>
      <c r="R62" s="325" t="s">
        <v>3774</v>
      </c>
      <c r="S62" s="133">
        <v>2150</v>
      </c>
      <c r="T62" s="133">
        <v>2150</v>
      </c>
      <c r="U62" s="276">
        <v>2150</v>
      </c>
      <c r="V62" s="276">
        <v>700</v>
      </c>
      <c r="AA62" s="179" t="s">
        <v>3341</v>
      </c>
      <c r="AB62" s="178" t="s">
        <v>3102</v>
      </c>
      <c r="AC62" s="212"/>
      <c r="AD62" s="34"/>
      <c r="AH62" s="199" t="s">
        <v>3647</v>
      </c>
      <c r="AI62" s="198" t="s">
        <v>3231</v>
      </c>
    </row>
    <row r="63" spans="1:37" ht="15.75" thickBot="1">
      <c r="A63" s="486"/>
      <c r="B63" s="177" t="str">
        <f t="shared" si="0"/>
        <v>Treviso čierna matt - maximálna odporúčaná dĺžka profilu 2750 mm</v>
      </c>
      <c r="C63" s="170">
        <f t="shared" si="3"/>
        <v>30.689347210000001</v>
      </c>
      <c r="D63" s="170">
        <f t="shared" si="4"/>
        <v>21.931745899999999</v>
      </c>
      <c r="E63" s="480">
        <v>835.22238800000002</v>
      </c>
      <c r="F63" s="481">
        <v>599.35075200000006</v>
      </c>
      <c r="G63" s="481">
        <v>30.689347210000001</v>
      </c>
      <c r="H63" s="481">
        <v>21.931745899999999</v>
      </c>
      <c r="I63" s="481">
        <v>118.32485</v>
      </c>
      <c r="J63" s="481">
        <v>87.941699999999997</v>
      </c>
      <c r="K63" s="481">
        <v>11215.25389</v>
      </c>
      <c r="L63" s="481">
        <v>8002.01271</v>
      </c>
      <c r="M63" s="179" t="s">
        <v>4493</v>
      </c>
      <c r="N63" s="179" t="s">
        <v>4494</v>
      </c>
      <c r="O63" s="178" t="s">
        <v>4499</v>
      </c>
      <c r="P63" s="179" t="s">
        <v>4495</v>
      </c>
      <c r="Q63" s="209" t="s">
        <v>4496</v>
      </c>
      <c r="R63" s="325" t="s">
        <v>4497</v>
      </c>
      <c r="S63" s="133">
        <v>2750</v>
      </c>
      <c r="T63" s="133">
        <v>2750</v>
      </c>
      <c r="U63" s="133">
        <v>2750</v>
      </c>
      <c r="V63" s="133">
        <v>700</v>
      </c>
      <c r="AA63" s="179" t="s">
        <v>3342</v>
      </c>
      <c r="AB63" s="178" t="s">
        <v>3103</v>
      </c>
      <c r="AC63" s="212"/>
      <c r="AD63" s="34"/>
      <c r="AH63" s="199" t="s">
        <v>3648</v>
      </c>
      <c r="AI63" s="198" t="s">
        <v>3232</v>
      </c>
    </row>
    <row r="64" spans="1:37" ht="15.75" thickBot="1">
      <c r="A64" s="207"/>
      <c r="B64" s="177" t="str">
        <f t="shared" si="0"/>
        <v>BRW kašmír - maximálna odporúčaná dĺžka profilu 2500 mm</v>
      </c>
      <c r="C64" s="170">
        <f t="shared" si="3"/>
        <v>23.48160803</v>
      </c>
      <c r="D64" s="170">
        <f t="shared" si="4"/>
        <v>7.7947893439999998</v>
      </c>
      <c r="E64" s="480">
        <v>639.06099400000005</v>
      </c>
      <c r="F64" s="481">
        <v>213.0160032</v>
      </c>
      <c r="G64" s="481">
        <v>23.48160803</v>
      </c>
      <c r="H64" s="481">
        <v>7.7947893439999998</v>
      </c>
      <c r="I64" s="481">
        <v>90.534925000000001</v>
      </c>
      <c r="J64" s="481">
        <v>31.255469999999999</v>
      </c>
      <c r="K64" s="481">
        <v>8581.2250779999995</v>
      </c>
      <c r="L64" s="481">
        <v>2844.0053830000002</v>
      </c>
      <c r="M64" s="178" t="s">
        <v>4475</v>
      </c>
      <c r="N64" s="178" t="s">
        <v>4477</v>
      </c>
      <c r="O64" s="178" t="s">
        <v>4476</v>
      </c>
      <c r="P64" s="178" t="s">
        <v>4478</v>
      </c>
      <c r="Q64" s="209" t="s">
        <v>4479</v>
      </c>
      <c r="R64" s="325" t="s">
        <v>4480</v>
      </c>
      <c r="S64" s="133">
        <v>2500</v>
      </c>
      <c r="T64" s="133">
        <v>2500</v>
      </c>
      <c r="U64" s="276">
        <v>2700</v>
      </c>
      <c r="V64" s="276">
        <v>700</v>
      </c>
      <c r="AA64" s="180" t="s">
        <v>3531</v>
      </c>
      <c r="AB64" s="179" t="s">
        <v>1603</v>
      </c>
      <c r="AH64" s="199" t="s">
        <v>3595</v>
      </c>
      <c r="AI64" s="198" t="s">
        <v>3233</v>
      </c>
    </row>
    <row r="65" spans="1:35" ht="15.75" thickBot="1">
      <c r="A65" s="207"/>
      <c r="B65" s="177" t="str">
        <f t="shared" si="0"/>
        <v>Verona kašmír - maximálna odporúčaná dĺžka profilu 2150 mm</v>
      </c>
      <c r="C65" s="170">
        <f t="shared" si="3"/>
        <v>23.48160803</v>
      </c>
      <c r="D65" s="170">
        <f t="shared" si="4"/>
        <v>7.7947893439999998</v>
      </c>
      <c r="E65" s="480">
        <v>639.06099400000005</v>
      </c>
      <c r="F65" s="481">
        <v>213.0160032</v>
      </c>
      <c r="G65" s="481">
        <v>23.48160803</v>
      </c>
      <c r="H65" s="481">
        <v>7.7947893439999998</v>
      </c>
      <c r="I65" s="481">
        <v>90.534925000000001</v>
      </c>
      <c r="J65" s="481">
        <v>31.255469999999999</v>
      </c>
      <c r="K65" s="481">
        <v>8581.2250779999995</v>
      </c>
      <c r="L65" s="481">
        <v>2844.0053830000002</v>
      </c>
      <c r="M65" s="178" t="s">
        <v>4481</v>
      </c>
      <c r="N65" s="178" t="s">
        <v>4482</v>
      </c>
      <c r="O65" s="178" t="s">
        <v>4483</v>
      </c>
      <c r="P65" s="178" t="s">
        <v>4484</v>
      </c>
      <c r="Q65" s="209" t="s">
        <v>4485</v>
      </c>
      <c r="R65" s="325" t="s">
        <v>4486</v>
      </c>
      <c r="S65" s="133">
        <v>2150</v>
      </c>
      <c r="T65" s="133">
        <v>2150</v>
      </c>
      <c r="U65" s="276">
        <v>2150</v>
      </c>
      <c r="V65" s="276">
        <v>700</v>
      </c>
      <c r="AA65" s="179" t="s">
        <v>3343</v>
      </c>
      <c r="AB65" s="178" t="s">
        <v>3104</v>
      </c>
      <c r="AH65" s="199" t="s">
        <v>3596</v>
      </c>
      <c r="AI65" s="198" t="s">
        <v>3234</v>
      </c>
    </row>
    <row r="66" spans="1:35">
      <c r="A66" s="207"/>
      <c r="B66" s="208"/>
      <c r="C66" s="134"/>
      <c r="D66" s="134"/>
      <c r="E66" s="134"/>
      <c r="F66" s="134"/>
      <c r="G66" s="134"/>
      <c r="H66" s="134"/>
      <c r="I66" s="134"/>
      <c r="J66" s="134"/>
      <c r="K66" s="134"/>
      <c r="L66" s="134"/>
      <c r="M66" s="185"/>
      <c r="N66" s="213"/>
      <c r="O66" s="212"/>
      <c r="P66" s="34"/>
      <c r="Q66" s="212"/>
      <c r="AA66" s="179" t="s">
        <v>4509</v>
      </c>
      <c r="AB66" s="178" t="s">
        <v>4507</v>
      </c>
      <c r="AH66" s="199" t="s">
        <v>269</v>
      </c>
      <c r="AI66" s="198" t="s">
        <v>3237</v>
      </c>
    </row>
    <row r="67" spans="1:35">
      <c r="A67" s="207"/>
      <c r="B67" s="208"/>
      <c r="C67" s="134"/>
      <c r="D67" s="134"/>
      <c r="E67" s="134"/>
      <c r="F67" s="134"/>
      <c r="G67" s="134"/>
      <c r="H67" s="134"/>
      <c r="I67" s="134"/>
      <c r="J67" s="134"/>
      <c r="K67" s="134"/>
      <c r="L67" s="134" t="s">
        <v>375</v>
      </c>
      <c r="M67" s="185"/>
      <c r="N67" s="213"/>
      <c r="O67" s="212"/>
      <c r="P67" s="34"/>
      <c r="Q67" s="212"/>
      <c r="AA67" s="179" t="s">
        <v>4501</v>
      </c>
      <c r="AB67" s="178" t="s">
        <v>4532</v>
      </c>
      <c r="AH67" s="199" t="s">
        <v>270</v>
      </c>
      <c r="AI67" s="198" t="s">
        <v>3239</v>
      </c>
    </row>
    <row r="68" spans="1:35">
      <c r="A68" s="207"/>
      <c r="B68" s="208"/>
      <c r="C68" s="134"/>
      <c r="D68" s="134"/>
      <c r="E68" s="134"/>
      <c r="F68" s="134"/>
      <c r="G68" s="134"/>
      <c r="H68" s="134"/>
      <c r="I68" s="134"/>
      <c r="J68" s="134"/>
      <c r="K68" s="134"/>
      <c r="L68" s="134"/>
      <c r="M68" s="185"/>
      <c r="N68" s="213"/>
      <c r="O68" s="212"/>
      <c r="P68" s="34"/>
      <c r="Q68" s="212"/>
      <c r="AA68" s="179" t="s">
        <v>3433</v>
      </c>
      <c r="AB68" s="178" t="s">
        <v>555</v>
      </c>
      <c r="AH68" s="199" t="s">
        <v>870</v>
      </c>
      <c r="AI68" s="198" t="s">
        <v>3240</v>
      </c>
    </row>
    <row r="69" spans="1:35">
      <c r="A69" s="207"/>
      <c r="B69" s="177" t="str">
        <f t="shared" ref="B69:B74" si="5">IF($D$1=1,M69,
IF($D$1=2,N69,
IF($D$1=3,O69,
IF($D$1=4,P69,
IF($D$1=5,Q69,
IF($D$1=6,R69,0))))))</f>
        <v>BRW champagne - maximálna odporúčaná dĺžka profilu 2500 mm</v>
      </c>
      <c r="C69" s="170">
        <f t="shared" ref="C69:C74" si="6">IF($D$1=1,E69,IF(OR($D$1=2,$D$1=5,),G69,IF($D$1=3,I69,IF($D$1=4,K69,IF($D$1=6,G69*1.3,0)))))</f>
        <v>13.811867784431138</v>
      </c>
      <c r="D69" s="170">
        <f t="shared" ref="D69:D74" si="7">IF($D$1=1,F69,IF(OR($D$1=2,$D$1=5),H69,IF($D$1=3,J69,IF($D$1=4,L69,IF($D$1=6,H69*1.3,0)))))</f>
        <v>7.3270562874251493</v>
      </c>
      <c r="E69" s="170">
        <v>399.62872800000002</v>
      </c>
      <c r="F69" s="170">
        <v>211.47318000000001</v>
      </c>
      <c r="G69" s="170">
        <v>13.811867784431138</v>
      </c>
      <c r="H69" s="170">
        <v>7.3270562874251493</v>
      </c>
      <c r="I69" s="170">
        <v>54.088451999999997</v>
      </c>
      <c r="J69" s="170">
        <v>33.250500000000002</v>
      </c>
      <c r="K69" s="170">
        <v>5039.6998064516129</v>
      </c>
      <c r="L69" s="170">
        <v>2844.5266451612906</v>
      </c>
      <c r="M69" s="185" t="s">
        <v>3331</v>
      </c>
      <c r="N69" s="185" t="s">
        <v>3378</v>
      </c>
      <c r="O69" s="185" t="s">
        <v>3385</v>
      </c>
      <c r="P69" s="34" t="s">
        <v>3517</v>
      </c>
      <c r="Q69" s="185" t="s">
        <v>3055</v>
      </c>
      <c r="R69" s="325" t="s">
        <v>3779</v>
      </c>
      <c r="S69" s="133">
        <v>2500</v>
      </c>
      <c r="T69" s="133">
        <v>2500</v>
      </c>
      <c r="U69" s="276">
        <v>2700</v>
      </c>
      <c r="V69" s="276">
        <v>700</v>
      </c>
      <c r="AA69" s="179" t="s">
        <v>3437</v>
      </c>
      <c r="AB69" s="178" t="s">
        <v>3105</v>
      </c>
      <c r="AH69" s="198" t="s">
        <v>387</v>
      </c>
      <c r="AI69" s="198" t="s">
        <v>387</v>
      </c>
    </row>
    <row r="70" spans="1:35">
      <c r="A70" s="207"/>
      <c r="B70" s="177" t="str">
        <f t="shared" si="5"/>
        <v>BRW champagne light - maximálna odporúčaná dĺžka profilu 2500 mm</v>
      </c>
      <c r="C70" s="170">
        <f t="shared" si="6"/>
        <v>19.780436694610778</v>
      </c>
      <c r="D70" s="170">
        <f t="shared" si="7"/>
        <v>7.3270562874251493</v>
      </c>
      <c r="E70" s="170">
        <v>572.32163519999995</v>
      </c>
      <c r="F70" s="170">
        <v>211.47318000000001</v>
      </c>
      <c r="G70" s="170">
        <v>19.780436694610778</v>
      </c>
      <c r="H70" s="170">
        <v>7.3270562874251493</v>
      </c>
      <c r="I70" s="170">
        <v>77.461876799999999</v>
      </c>
      <c r="J70" s="170">
        <v>33.250500000000002</v>
      </c>
      <c r="K70" s="170">
        <v>7217.5222451612899</v>
      </c>
      <c r="L70" s="170">
        <v>2844.5266451612906</v>
      </c>
      <c r="M70" s="185" t="s">
        <v>3332</v>
      </c>
      <c r="N70" s="185" t="s">
        <v>3379</v>
      </c>
      <c r="O70" s="185" t="s">
        <v>3386</v>
      </c>
      <c r="P70" s="34" t="s">
        <v>3518</v>
      </c>
      <c r="Q70" s="185" t="s">
        <v>3168</v>
      </c>
      <c r="R70" s="325" t="s">
        <v>3780</v>
      </c>
      <c r="S70" s="133">
        <v>2500</v>
      </c>
      <c r="T70" s="133">
        <v>2500</v>
      </c>
      <c r="U70" s="276">
        <v>2700</v>
      </c>
      <c r="V70" s="276">
        <v>700</v>
      </c>
      <c r="AA70" s="179" t="s">
        <v>3441</v>
      </c>
      <c r="AB70" s="178" t="s">
        <v>3106</v>
      </c>
      <c r="AH70" s="198" t="s">
        <v>1140</v>
      </c>
      <c r="AI70" s="198" t="s">
        <v>1140</v>
      </c>
    </row>
    <row r="71" spans="1:35">
      <c r="A71" s="207"/>
      <c r="B71" s="177" t="str">
        <f t="shared" si="5"/>
        <v>ROMA čierna mat - maximálna odporúčaná dĺžka profilu 2696 mm</v>
      </c>
      <c r="C71" s="170">
        <f t="shared" si="6"/>
        <v>29.432392814371259</v>
      </c>
      <c r="D71" s="170">
        <f t="shared" si="7"/>
        <v>20.615712574850296</v>
      </c>
      <c r="E71" s="170">
        <v>851.58864000000005</v>
      </c>
      <c r="F71" s="170">
        <v>595.00979999999993</v>
      </c>
      <c r="G71" s="170">
        <v>29.432392814371259</v>
      </c>
      <c r="H71" s="170">
        <v>20.615712574850296</v>
      </c>
      <c r="I71" s="170">
        <v>115.25976</v>
      </c>
      <c r="J71" s="170">
        <v>93.554999999999993</v>
      </c>
      <c r="K71" s="170">
        <v>10739.345806451614</v>
      </c>
      <c r="L71" s="170">
        <v>8003.4793548387088</v>
      </c>
      <c r="M71" s="185" t="s">
        <v>3333</v>
      </c>
      <c r="N71" s="185" t="s">
        <v>3380</v>
      </c>
      <c r="O71" s="185" t="s">
        <v>3387</v>
      </c>
      <c r="P71" s="185" t="s">
        <v>3519</v>
      </c>
      <c r="Q71" s="253" t="s">
        <v>3056</v>
      </c>
      <c r="R71" s="325" t="s">
        <v>3781</v>
      </c>
      <c r="S71" s="133">
        <v>2696</v>
      </c>
      <c r="T71" s="133">
        <v>2696</v>
      </c>
      <c r="U71" s="276">
        <v>2696</v>
      </c>
      <c r="V71" s="276">
        <v>700</v>
      </c>
      <c r="AA71" s="179" t="s">
        <v>3344</v>
      </c>
      <c r="AB71" s="178" t="s">
        <v>3107</v>
      </c>
      <c r="AH71" s="198" t="s">
        <v>1136</v>
      </c>
      <c r="AI71" s="198" t="s">
        <v>1136</v>
      </c>
    </row>
    <row r="72" spans="1:35">
      <c r="A72" s="207"/>
      <c r="B72" s="177" t="str">
        <f t="shared" si="5"/>
        <v>ROMA champagne mat - maximálna odporúčaná dĺžka profilu 2696 mm</v>
      </c>
      <c r="C72" s="170">
        <f t="shared" si="6"/>
        <v>29.432392814371259</v>
      </c>
      <c r="D72" s="170">
        <f t="shared" si="7"/>
        <v>20.615712574850296</v>
      </c>
      <c r="E72" s="170">
        <v>851.58864000000005</v>
      </c>
      <c r="F72" s="170">
        <v>595.00979999999993</v>
      </c>
      <c r="G72" s="170">
        <v>29.432392814371259</v>
      </c>
      <c r="H72" s="170">
        <v>20.615712574850296</v>
      </c>
      <c r="I72" s="170">
        <v>115.25976</v>
      </c>
      <c r="J72" s="170">
        <v>93.554999999999993</v>
      </c>
      <c r="K72" s="170">
        <v>10739.345806451614</v>
      </c>
      <c r="L72" s="170">
        <v>8003.4793548387088</v>
      </c>
      <c r="M72" s="185" t="s">
        <v>3334</v>
      </c>
      <c r="N72" s="185" t="s">
        <v>3381</v>
      </c>
      <c r="O72" s="185" t="s">
        <v>3388</v>
      </c>
      <c r="P72" s="185" t="s">
        <v>3520</v>
      </c>
      <c r="Q72" s="185" t="s">
        <v>3057</v>
      </c>
      <c r="R72" s="325" t="s">
        <v>3782</v>
      </c>
      <c r="S72" s="133">
        <v>2696</v>
      </c>
      <c r="T72" s="133">
        <v>2696</v>
      </c>
      <c r="U72" s="276">
        <v>2696</v>
      </c>
      <c r="V72" s="276">
        <v>700</v>
      </c>
      <c r="AA72" s="178" t="s">
        <v>3345</v>
      </c>
      <c r="AB72" s="178" t="s">
        <v>3108</v>
      </c>
      <c r="AH72" s="198" t="s">
        <v>1141</v>
      </c>
      <c r="AI72" s="198" t="s">
        <v>1141</v>
      </c>
    </row>
    <row r="73" spans="1:35">
      <c r="A73" s="207"/>
      <c r="B73" s="177" t="str">
        <f t="shared" si="5"/>
        <v>ROMA GRIP čierna mat - maximálna odporúčaná dĺžka profilu 2696 mm</v>
      </c>
      <c r="C73" s="170">
        <f t="shared" si="6"/>
        <v>29.432392814371259</v>
      </c>
      <c r="D73" s="170">
        <f t="shared" si="7"/>
        <v>20.615712574850296</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3335</v>
      </c>
      <c r="N73" s="185" t="s">
        <v>3382</v>
      </c>
      <c r="O73" s="185" t="s">
        <v>3389</v>
      </c>
      <c r="P73" s="185" t="s">
        <v>3521</v>
      </c>
      <c r="Q73" s="221" t="s">
        <v>3058</v>
      </c>
      <c r="R73" s="325" t="s">
        <v>3783</v>
      </c>
      <c r="S73" s="133">
        <v>2696</v>
      </c>
      <c r="T73" s="133">
        <v>2696</v>
      </c>
      <c r="U73" s="276">
        <v>2696</v>
      </c>
      <c r="V73" s="276">
        <v>700</v>
      </c>
      <c r="AA73" s="179" t="s">
        <v>3346</v>
      </c>
      <c r="AB73" s="178" t="s">
        <v>3109</v>
      </c>
      <c r="AH73" s="198" t="s">
        <v>549</v>
      </c>
      <c r="AI73" s="198" t="s">
        <v>3200</v>
      </c>
    </row>
    <row r="74" spans="1:35">
      <c r="A74" s="207"/>
      <c r="B74" s="177" t="str">
        <f t="shared" si="5"/>
        <v>ROMA GRIP champagne mat - maximálna odporúčaná dĺžka profilu 2696 mm</v>
      </c>
      <c r="C74" s="170">
        <f t="shared" si="6"/>
        <v>29.432392814371259</v>
      </c>
      <c r="D74" s="170">
        <f t="shared" si="7"/>
        <v>20.615712574850296</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3336</v>
      </c>
      <c r="N74" s="185" t="s">
        <v>3383</v>
      </c>
      <c r="O74" s="185" t="s">
        <v>3390</v>
      </c>
      <c r="P74" s="185" t="s">
        <v>3522</v>
      </c>
      <c r="Q74" s="185" t="s">
        <v>3059</v>
      </c>
      <c r="R74" s="325" t="s">
        <v>3784</v>
      </c>
      <c r="S74" s="133">
        <v>2696</v>
      </c>
      <c r="T74" s="133">
        <v>2696</v>
      </c>
      <c r="U74" s="276">
        <v>2696</v>
      </c>
      <c r="V74" s="276">
        <v>700</v>
      </c>
      <c r="AA74" s="179" t="s">
        <v>3347</v>
      </c>
      <c r="AB74" s="178" t="s">
        <v>3110</v>
      </c>
      <c r="AH74" s="198" t="s">
        <v>866</v>
      </c>
      <c r="AI74" s="198" t="s">
        <v>3203</v>
      </c>
    </row>
    <row r="75" spans="1:35">
      <c r="B75" s="182"/>
      <c r="C75" s="134"/>
      <c r="D75" s="134"/>
      <c r="E75" s="134"/>
      <c r="F75" s="134"/>
      <c r="G75" s="183"/>
      <c r="H75" s="183"/>
      <c r="I75" s="183"/>
      <c r="J75" s="183"/>
      <c r="K75" s="184"/>
      <c r="L75" s="184"/>
      <c r="M75" s="181"/>
      <c r="N75" s="181"/>
      <c r="O75" s="185"/>
      <c r="P75" s="181"/>
      <c r="AA75" s="180" t="s">
        <v>3445</v>
      </c>
      <c r="AB75" s="179" t="s">
        <v>3111</v>
      </c>
      <c r="AH75" s="198" t="s">
        <v>867</v>
      </c>
      <c r="AI75" s="198" t="s">
        <v>3206</v>
      </c>
    </row>
    <row r="76" spans="1:35" ht="15.75" thickBot="1">
      <c r="B76" s="182"/>
      <c r="C76" s="134" t="s">
        <v>1200</v>
      </c>
      <c r="D76" s="134" t="s">
        <v>1201</v>
      </c>
      <c r="E76" s="134"/>
      <c r="F76" s="134"/>
      <c r="G76" s="183"/>
      <c r="H76" s="183"/>
      <c r="I76" s="183"/>
      <c r="J76" s="183"/>
      <c r="K76" s="184"/>
      <c r="L76" s="184"/>
      <c r="M76" s="181"/>
      <c r="N76" s="181"/>
      <c r="O76" s="185"/>
      <c r="P76" s="181"/>
      <c r="AA76" s="178" t="s">
        <v>3348</v>
      </c>
      <c r="AB76" s="178" t="s">
        <v>3112</v>
      </c>
      <c r="AH76" s="198" t="s">
        <v>3649</v>
      </c>
      <c r="AI76" s="198" t="s">
        <v>3209</v>
      </c>
    </row>
    <row r="77" spans="1:35" ht="15.75" thickBot="1">
      <c r="A77" s="488" t="s">
        <v>1202</v>
      </c>
      <c r="B77" s="177"/>
      <c r="C77" s="188" t="str">
        <f>$B$32</f>
        <v>Siena (elox.) - maximálna odporúčaná dĺžka profilu 2500 mm</v>
      </c>
      <c r="D77" s="189" t="str">
        <f>B49</f>
        <v>Varna - maximálna odporúčaná dĺžka profilu 2500 mm</v>
      </c>
      <c r="E77" s="134"/>
      <c r="F77" s="134"/>
      <c r="G77" s="183"/>
      <c r="H77" s="183"/>
      <c r="I77" s="183"/>
      <c r="J77" s="183"/>
      <c r="K77" s="184"/>
      <c r="L77" s="184"/>
      <c r="M77" s="181" t="s">
        <v>2388</v>
      </c>
      <c r="N77" s="181" t="s">
        <v>2391</v>
      </c>
      <c r="O77" s="185" t="s">
        <v>3060</v>
      </c>
      <c r="P77" s="181" t="s">
        <v>2398</v>
      </c>
      <c r="Q77" s="133" t="s">
        <v>2394</v>
      </c>
      <c r="R77" s="325" t="s">
        <v>3785</v>
      </c>
      <c r="S77" s="133">
        <v>2500</v>
      </c>
      <c r="T77" s="133">
        <v>2500</v>
      </c>
      <c r="U77" s="276">
        <v>2700</v>
      </c>
      <c r="V77" s="276">
        <v>700</v>
      </c>
      <c r="AA77" s="178" t="s">
        <v>3349</v>
      </c>
      <c r="AB77" s="178" t="s">
        <v>4522</v>
      </c>
      <c r="AH77" s="198" t="s">
        <v>393</v>
      </c>
      <c r="AI77" s="198" t="s">
        <v>3211</v>
      </c>
    </row>
    <row r="78" spans="1:35" ht="15.75" thickBot="1">
      <c r="A78" s="489"/>
      <c r="B78" s="177"/>
      <c r="C78" s="188">
        <f>$B$33</f>
        <v>0</v>
      </c>
      <c r="D78" s="189" t="str">
        <f>$B$54</f>
        <v>Varna čierna - maximálna odporúčaná dĺžka profilu 1200 mm</v>
      </c>
      <c r="M78" s="181" t="s">
        <v>1230</v>
      </c>
      <c r="N78" s="181" t="s">
        <v>1231</v>
      </c>
      <c r="O78" s="185" t="s">
        <v>3061</v>
      </c>
      <c r="P78" s="181" t="s">
        <v>1232</v>
      </c>
      <c r="Q78" s="133" t="s">
        <v>1345</v>
      </c>
      <c r="R78" s="325" t="s">
        <v>3786</v>
      </c>
      <c r="S78" s="133">
        <v>1200</v>
      </c>
      <c r="T78" s="133">
        <v>2500</v>
      </c>
      <c r="U78" s="276">
        <v>2700</v>
      </c>
      <c r="V78" s="276">
        <v>700</v>
      </c>
      <c r="AA78" s="178" t="s">
        <v>3352</v>
      </c>
      <c r="AB78" s="178" t="s">
        <v>3113</v>
      </c>
      <c r="AH78" s="198" t="s">
        <v>868</v>
      </c>
      <c r="AI78" s="198" t="s">
        <v>3212</v>
      </c>
    </row>
    <row r="79" spans="1:35" ht="15.75" thickBot="1">
      <c r="A79" s="489"/>
      <c r="B79" s="177"/>
      <c r="C79" s="188" t="str">
        <f>$B$27</f>
        <v>Palio (elox.) - maximálna odporúčaná dĺžka profilu 2500 mm</v>
      </c>
      <c r="D79" s="189" t="str">
        <f>B49</f>
        <v>Varna - maximálna odporúčaná dĺžka profilu 2500 mm</v>
      </c>
      <c r="E79" s="134"/>
      <c r="F79" s="134"/>
      <c r="G79" s="183"/>
      <c r="H79" s="183"/>
      <c r="I79" s="183"/>
      <c r="J79" s="183"/>
      <c r="K79" s="184"/>
      <c r="L79" s="184"/>
      <c r="M79" s="181" t="s">
        <v>2389</v>
      </c>
      <c r="N79" s="181" t="s">
        <v>2392</v>
      </c>
      <c r="O79" s="185" t="s">
        <v>3062</v>
      </c>
      <c r="P79" s="181" t="s">
        <v>2399</v>
      </c>
      <c r="Q79" s="133" t="s">
        <v>2395</v>
      </c>
      <c r="R79" s="325" t="s">
        <v>3787</v>
      </c>
      <c r="S79" s="133">
        <v>2500</v>
      </c>
      <c r="T79" s="133">
        <v>2500</v>
      </c>
      <c r="U79" s="276">
        <v>2700</v>
      </c>
      <c r="V79" s="276">
        <v>700</v>
      </c>
      <c r="AA79" s="179" t="s">
        <v>3449</v>
      </c>
      <c r="AB79" s="178" t="s">
        <v>3114</v>
      </c>
      <c r="AH79" s="198" t="s">
        <v>860</v>
      </c>
      <c r="AI79" s="198" t="s">
        <v>3213</v>
      </c>
    </row>
    <row r="80" spans="1:35" ht="15.75" thickBot="1">
      <c r="A80" s="489"/>
      <c r="B80" s="177" t="str">
        <f t="shared" ref="B80:B81" si="8">IF($D$1=1,M80,
IF($D$1=2,N80,
IF($D$1=3,O80,
IF($D$1=4,P80,
IF($D$1=5,Q80,
IF($D$1=6,R80,0))))))</f>
        <v>Rocca elox (Vľavo a vpravo) + Varna elox (Hore a dole)</v>
      </c>
      <c r="C80" s="188" t="str">
        <f>B50</f>
        <v>Rocca (elox.) - maximálna odporúčaná dĺžka profilu 2150 mm</v>
      </c>
      <c r="D80" s="275" t="str">
        <f>B49</f>
        <v>Varna - maximálna odporúčaná dĺžka profilu 2500 mm</v>
      </c>
      <c r="E80" s="134"/>
      <c r="F80" s="134"/>
      <c r="G80" s="183"/>
      <c r="H80" s="183"/>
      <c r="I80" s="183"/>
      <c r="J80" s="183"/>
      <c r="K80" s="184"/>
      <c r="L80" s="184"/>
      <c r="M80" s="181" t="s">
        <v>2390</v>
      </c>
      <c r="N80" s="181" t="s">
        <v>2393</v>
      </c>
      <c r="O80" s="185" t="s">
        <v>2396</v>
      </c>
      <c r="P80" s="181" t="s">
        <v>2400</v>
      </c>
      <c r="Q80" s="133" t="s">
        <v>2397</v>
      </c>
      <c r="R80" s="325" t="s">
        <v>3788</v>
      </c>
      <c r="S80" s="133">
        <v>2500</v>
      </c>
      <c r="T80" s="133">
        <v>2500</v>
      </c>
      <c r="U80" s="276">
        <v>2150</v>
      </c>
      <c r="V80" s="276">
        <v>700</v>
      </c>
      <c r="AA80" s="180" t="s">
        <v>3453</v>
      </c>
      <c r="AB80" s="179" t="s">
        <v>3115</v>
      </c>
      <c r="AH80" s="198" t="s">
        <v>3650</v>
      </c>
      <c r="AI80" s="198" t="s">
        <v>3214</v>
      </c>
    </row>
    <row r="81" spans="1:35" ht="15.75" thickBot="1">
      <c r="A81" s="489"/>
      <c r="B81" s="177" t="str">
        <f t="shared" si="8"/>
        <v>Rocca čierna (Vľavo a vpravo) + Varna čierna (Hore a dole)</v>
      </c>
      <c r="C81" s="188" t="str">
        <f>B42</f>
        <v>Rocca čierna mat - maximálna odporúčaná dĺžka profilu 2150 mm</v>
      </c>
      <c r="D81" s="275" t="str">
        <f>$B$54</f>
        <v>Varna čierna - maximálna odporúčaná dĺžka profilu 1200 mm</v>
      </c>
      <c r="E81" s="134"/>
      <c r="F81" s="134"/>
      <c r="G81" s="183"/>
      <c r="H81" s="183"/>
      <c r="I81" s="183"/>
      <c r="J81" s="183"/>
      <c r="K81" s="184"/>
      <c r="L81" s="184"/>
      <c r="M81" s="181" t="s">
        <v>1233</v>
      </c>
      <c r="N81" s="181" t="s">
        <v>1234</v>
      </c>
      <c r="O81" s="185" t="s">
        <v>1235</v>
      </c>
      <c r="P81" s="181" t="s">
        <v>1236</v>
      </c>
      <c r="Q81" s="133" t="s">
        <v>1346</v>
      </c>
      <c r="R81" s="325" t="s">
        <v>3789</v>
      </c>
      <c r="S81" s="133">
        <v>1200</v>
      </c>
      <c r="T81" s="133">
        <v>2150</v>
      </c>
      <c r="U81" s="276">
        <v>2150</v>
      </c>
      <c r="V81" s="276">
        <v>700</v>
      </c>
      <c r="AA81" s="179" t="s">
        <v>3355</v>
      </c>
      <c r="AB81" s="178" t="s">
        <v>3116</v>
      </c>
      <c r="AH81" s="198" t="s">
        <v>3651</v>
      </c>
      <c r="AI81" s="198" t="s">
        <v>2572</v>
      </c>
    </row>
    <row r="82" spans="1:35" ht="15.75" thickBot="1">
      <c r="A82" s="490"/>
      <c r="B82" s="177"/>
      <c r="C82" s="134">
        <f>$B$28</f>
        <v>0</v>
      </c>
      <c r="D82" s="134" t="str">
        <f>$B$54</f>
        <v>Varna čierna - maximálna odporúčaná dĺžka profilu 1200 mm</v>
      </c>
      <c r="E82" s="134"/>
      <c r="F82" s="134"/>
      <c r="G82" s="183"/>
      <c r="H82" s="183"/>
      <c r="I82" s="183"/>
      <c r="J82" s="183"/>
      <c r="K82" s="184"/>
      <c r="L82" s="184"/>
      <c r="M82" s="181" t="s">
        <v>1420</v>
      </c>
      <c r="N82" s="181" t="s">
        <v>1421</v>
      </c>
      <c r="O82" s="185" t="s">
        <v>1422</v>
      </c>
      <c r="P82" s="181" t="s">
        <v>1423</v>
      </c>
      <c r="Q82" s="133" t="s">
        <v>1424</v>
      </c>
      <c r="R82" s="325" t="s">
        <v>3790</v>
      </c>
      <c r="S82" s="133">
        <v>1200</v>
      </c>
      <c r="T82" s="133">
        <v>2500</v>
      </c>
      <c r="U82" s="276">
        <v>2700</v>
      </c>
      <c r="V82" s="276">
        <v>700</v>
      </c>
      <c r="AA82" s="179" t="s">
        <v>3356</v>
      </c>
      <c r="AB82" s="178" t="s">
        <v>3117</v>
      </c>
      <c r="AH82" s="198" t="s">
        <v>3652</v>
      </c>
      <c r="AI82" s="198" t="s">
        <v>3218</v>
      </c>
    </row>
    <row r="83" spans="1:35">
      <c r="A83" s="135"/>
      <c r="B83" s="273"/>
      <c r="C83" s="274"/>
      <c r="D83" s="274"/>
      <c r="E83" s="134"/>
      <c r="F83" s="134"/>
      <c r="G83" s="183"/>
      <c r="H83" s="183"/>
      <c r="I83" s="183"/>
      <c r="J83" s="183"/>
      <c r="K83" s="184"/>
      <c r="L83" s="184"/>
      <c r="M83" s="181"/>
      <c r="N83" s="181"/>
      <c r="O83" s="185"/>
      <c r="P83" s="181"/>
      <c r="AA83" s="179" t="s">
        <v>3357</v>
      </c>
      <c r="AB83" s="178" t="s">
        <v>3118</v>
      </c>
      <c r="AH83" s="198" t="s">
        <v>3653</v>
      </c>
      <c r="AI83" s="198" t="s">
        <v>3220</v>
      </c>
    </row>
    <row r="84" spans="1:35">
      <c r="A84" s="135"/>
      <c r="B84" s="133" t="s">
        <v>3523</v>
      </c>
      <c r="AA84" s="179" t="s">
        <v>3358</v>
      </c>
      <c r="AB84" s="178" t="s">
        <v>3119</v>
      </c>
      <c r="AH84" s="198" t="s">
        <v>3654</v>
      </c>
      <c r="AI84" s="198" t="s">
        <v>3223</v>
      </c>
    </row>
    <row r="85" spans="1:35">
      <c r="A85" s="135"/>
      <c r="B85" s="182"/>
      <c r="C85" s="182"/>
      <c r="D85" s="182"/>
      <c r="E85" s="134"/>
      <c r="F85" s="134"/>
      <c r="G85" s="183"/>
      <c r="H85" s="183"/>
      <c r="I85" s="183"/>
      <c r="J85" s="183"/>
      <c r="K85" s="184"/>
      <c r="L85" s="184"/>
      <c r="M85" s="181"/>
      <c r="N85" s="181"/>
      <c r="O85" s="185"/>
      <c r="P85" s="181"/>
      <c r="AA85" s="178" t="s">
        <v>3359</v>
      </c>
      <c r="AB85" s="178" t="s">
        <v>3120</v>
      </c>
      <c r="AH85" s="198" t="s">
        <v>3655</v>
      </c>
      <c r="AI85" s="198" t="s">
        <v>3224</v>
      </c>
    </row>
    <row r="86" spans="1:35">
      <c r="A86" s="135"/>
      <c r="AA86" s="178" t="s">
        <v>3360</v>
      </c>
      <c r="AB86" s="178" t="s">
        <v>3121</v>
      </c>
      <c r="AH86" s="198" t="s">
        <v>3656</v>
      </c>
      <c r="AI86" s="198" t="s">
        <v>3231</v>
      </c>
    </row>
    <row r="87" spans="1:35">
      <c r="A87" s="135"/>
      <c r="AA87" s="179" t="s">
        <v>3361</v>
      </c>
      <c r="AB87" s="178" t="s">
        <v>3117</v>
      </c>
      <c r="AH87" s="198" t="s">
        <v>3657</v>
      </c>
      <c r="AI87" s="198" t="s">
        <v>3232</v>
      </c>
    </row>
    <row r="88" spans="1:35">
      <c r="A88" s="135"/>
      <c r="B88" s="182"/>
      <c r="C88" s="134"/>
      <c r="D88" s="134"/>
      <c r="E88" s="134"/>
      <c r="F88" s="134"/>
      <c r="G88" s="183"/>
      <c r="H88" s="183"/>
      <c r="I88" s="183"/>
      <c r="J88" s="183"/>
      <c r="K88" s="184"/>
      <c r="L88" s="184"/>
      <c r="M88" s="181"/>
      <c r="N88" s="181"/>
      <c r="O88" s="185"/>
      <c r="P88" s="181"/>
      <c r="AA88" s="179" t="s">
        <v>3362</v>
      </c>
      <c r="AB88" s="178" t="s">
        <v>4506</v>
      </c>
      <c r="AH88" s="198" t="s">
        <v>3658</v>
      </c>
      <c r="AI88" s="198" t="s">
        <v>3233</v>
      </c>
    </row>
    <row r="89" spans="1:35">
      <c r="B89" s="182"/>
      <c r="C89" s="134"/>
      <c r="D89" s="134"/>
      <c r="E89" s="134"/>
      <c r="F89" s="134"/>
      <c r="G89" s="183"/>
      <c r="H89" s="183"/>
      <c r="I89" s="183"/>
      <c r="J89" s="183"/>
      <c r="K89" s="184"/>
      <c r="L89" s="184"/>
      <c r="M89" s="181"/>
      <c r="N89" s="181"/>
      <c r="O89" s="185"/>
      <c r="P89" s="181"/>
      <c r="AA89" s="179" t="s">
        <v>3363</v>
      </c>
      <c r="AB89" s="178" t="s">
        <v>3122</v>
      </c>
      <c r="AH89" s="198" t="s">
        <v>3659</v>
      </c>
      <c r="AI89" s="198" t="s">
        <v>3234</v>
      </c>
    </row>
    <row r="90" spans="1:35">
      <c r="B90" s="176" t="s">
        <v>24</v>
      </c>
      <c r="C90" s="171" t="s">
        <v>25</v>
      </c>
      <c r="D90" s="172"/>
      <c r="E90" s="171" t="s">
        <v>113</v>
      </c>
      <c r="F90" s="172"/>
      <c r="G90" s="171" t="s">
        <v>114</v>
      </c>
      <c r="H90" s="172"/>
      <c r="I90" s="171" t="s">
        <v>74</v>
      </c>
      <c r="J90" s="172"/>
      <c r="K90" s="171" t="s">
        <v>75</v>
      </c>
      <c r="L90" s="172"/>
      <c r="M90" s="181"/>
      <c r="N90" s="181"/>
      <c r="O90" s="185"/>
      <c r="P90" s="181"/>
      <c r="AA90" s="179" t="s">
        <v>3364</v>
      </c>
      <c r="AB90" s="178" t="s">
        <v>3123</v>
      </c>
      <c r="AH90" s="198" t="s">
        <v>267</v>
      </c>
      <c r="AI90" s="198" t="s">
        <v>3237</v>
      </c>
    </row>
    <row r="91" spans="1:35">
      <c r="B91" s="182" t="str">
        <f>B563</f>
        <v>transparentné</v>
      </c>
      <c r="C91" s="170">
        <f>IF($D$1=1,E91,IF(OR($D$1=2,$D$1=5),G91,IF($D$1=3,I91,IF($D$1=4,K91,IF($D$1=6,G91*1.3,0)))))</f>
        <v>5.1684790419161688</v>
      </c>
      <c r="E91" s="194">
        <v>148.71600000000001</v>
      </c>
      <c r="G91" s="195">
        <v>5.1684790419161688</v>
      </c>
      <c r="I91" s="195">
        <v>22.842000000000002</v>
      </c>
      <c r="K91" s="196">
        <v>2116.4516129032259</v>
      </c>
      <c r="M91" s="181"/>
      <c r="N91" s="181"/>
      <c r="O91" s="185"/>
      <c r="P91" s="181"/>
      <c r="AA91" s="179" t="s">
        <v>3365</v>
      </c>
      <c r="AB91" s="178" t="s">
        <v>3124</v>
      </c>
      <c r="AH91" s="198" t="s">
        <v>268</v>
      </c>
      <c r="AI91" s="198" t="s">
        <v>3239</v>
      </c>
    </row>
    <row r="92" spans="1:35">
      <c r="B92" s="182" t="str">
        <f>B564</f>
        <v>biela</v>
      </c>
      <c r="C92" s="170">
        <f t="shared" ref="C92:C141" si="9">IF($D$1=1,E92,IF(OR($D$1=2,$D$1=5),G92,IF($D$1=3,I92,IF($D$1=4,K92,IF($D$1=6,G92*1.3,0)))))</f>
        <v>4.3070658682634742</v>
      </c>
      <c r="E92" s="194">
        <v>123.93</v>
      </c>
      <c r="G92" s="195">
        <v>4.3070658682634742</v>
      </c>
      <c r="I92" s="195">
        <v>19.035000000000004</v>
      </c>
      <c r="K92" s="195">
        <v>1763.7096774193551</v>
      </c>
      <c r="M92" s="181"/>
      <c r="N92" s="181"/>
      <c r="O92" s="185"/>
      <c r="P92" s="181"/>
      <c r="AA92" s="180" t="s">
        <v>3366</v>
      </c>
      <c r="AB92" s="209" t="s">
        <v>3125</v>
      </c>
      <c r="AH92" s="198" t="s">
        <v>871</v>
      </c>
      <c r="AI92" s="198" t="s">
        <v>3240</v>
      </c>
    </row>
    <row r="93" spans="1:35">
      <c r="B93" s="182" t="str">
        <f>B565</f>
        <v>čierna</v>
      </c>
      <c r="C93" s="170">
        <f t="shared" si="9"/>
        <v>5.1684790419161688</v>
      </c>
      <c r="E93" s="194">
        <v>148.71600000000001</v>
      </c>
      <c r="G93" s="195">
        <v>5.1684790419161688</v>
      </c>
      <c r="I93" s="195">
        <v>22.842000000000002</v>
      </c>
      <c r="K93" s="196">
        <v>2116.4516129032259</v>
      </c>
      <c r="M93" s="181"/>
      <c r="N93" s="181"/>
      <c r="O93" s="185"/>
      <c r="P93" s="181"/>
      <c r="AA93" s="179" t="s">
        <v>3367</v>
      </c>
      <c r="AB93" s="178" t="s">
        <v>4523</v>
      </c>
      <c r="AH93" s="198" t="s">
        <v>388</v>
      </c>
      <c r="AI93" s="198" t="s">
        <v>387</v>
      </c>
    </row>
    <row r="94" spans="1:35">
      <c r="B94" s="182" t="s">
        <v>1215</v>
      </c>
      <c r="C94" s="170">
        <f t="shared" si="9"/>
        <v>22.827449101796407</v>
      </c>
      <c r="D94" s="134"/>
      <c r="E94" s="134">
        <v>656.82899999999995</v>
      </c>
      <c r="G94" s="134">
        <v>22.827449101796407</v>
      </c>
      <c r="I94" s="183">
        <v>100.88550000000001</v>
      </c>
      <c r="J94" s="183"/>
      <c r="K94" s="183">
        <v>9347.6612903225796</v>
      </c>
      <c r="L94" s="184"/>
      <c r="M94" s="181"/>
      <c r="N94" s="181"/>
      <c r="O94" s="185"/>
      <c r="P94" s="181"/>
      <c r="AA94" s="178" t="s">
        <v>3368</v>
      </c>
      <c r="AB94" s="178" t="s">
        <v>3126</v>
      </c>
      <c r="AH94" s="198" t="s">
        <v>1138</v>
      </c>
      <c r="AI94" s="198" t="s">
        <v>1140</v>
      </c>
    </row>
    <row r="95" spans="1:35">
      <c r="B95" s="177" t="str">
        <f t="shared" ref="B95:B96" si="10">IF($D$1=1,M95,
IF($D$1=2,N95,
IF($D$1=3,O95,
IF($D$1=4,P95,
IF($D$1=5,Q95,
IF($D$1=6,R95,0))))))</f>
        <v>Lesk</v>
      </c>
      <c r="C95" s="170">
        <f t="shared" si="9"/>
        <v>2.2412694610778447</v>
      </c>
      <c r="E95" s="134">
        <v>64.489499999999992</v>
      </c>
      <c r="G95" s="133">
        <v>2.2412694610778447</v>
      </c>
      <c r="I95" s="183">
        <v>9.9052500000000006</v>
      </c>
      <c r="K95" s="133">
        <v>917.7822580645161</v>
      </c>
      <c r="M95" s="181" t="s">
        <v>1933</v>
      </c>
      <c r="N95" s="181" t="s">
        <v>1933</v>
      </c>
      <c r="O95" s="185" t="s">
        <v>1937</v>
      </c>
      <c r="P95" s="181" t="s">
        <v>1938</v>
      </c>
      <c r="Q95" s="133" t="s">
        <v>1935</v>
      </c>
      <c r="R95" s="325" t="s">
        <v>3791</v>
      </c>
      <c r="AA95" s="178" t="s">
        <v>3369</v>
      </c>
      <c r="AB95" s="178" t="s">
        <v>3172</v>
      </c>
      <c r="AH95" s="198" t="s">
        <v>1137</v>
      </c>
      <c r="AI95" s="198" t="s">
        <v>1136</v>
      </c>
    </row>
    <row r="96" spans="1:35">
      <c r="B96" s="177" t="str">
        <f t="shared" si="10"/>
        <v>Mat</v>
      </c>
      <c r="C96" s="170">
        <f t="shared" si="9"/>
        <v>1.4875329341317365</v>
      </c>
      <c r="E96" s="134">
        <v>42.801749999999998</v>
      </c>
      <c r="G96" s="133">
        <v>1.4875329341317365</v>
      </c>
      <c r="I96" s="183">
        <v>6.5741249999999996</v>
      </c>
      <c r="K96" s="133">
        <v>609.13306451612902</v>
      </c>
      <c r="M96" s="181" t="s">
        <v>1934</v>
      </c>
      <c r="N96" s="181" t="s">
        <v>1934</v>
      </c>
      <c r="O96" s="185" t="s">
        <v>1939</v>
      </c>
      <c r="P96" s="181" t="s">
        <v>1936</v>
      </c>
      <c r="Q96" s="133" t="s">
        <v>1936</v>
      </c>
      <c r="R96" s="325" t="s">
        <v>1934</v>
      </c>
      <c r="AA96" s="178" t="s">
        <v>3370</v>
      </c>
      <c r="AB96" s="209" t="s">
        <v>3170</v>
      </c>
      <c r="AH96" s="198" t="s">
        <v>1142</v>
      </c>
      <c r="AI96" s="198" t="s">
        <v>1141</v>
      </c>
    </row>
    <row r="97" spans="1:35">
      <c r="B97" s="182" t="s">
        <v>1216</v>
      </c>
      <c r="C97" s="170">
        <f t="shared" si="9"/>
        <v>0.85050000000000014</v>
      </c>
      <c r="E97" s="134">
        <v>23.538438000000006</v>
      </c>
      <c r="G97" s="133">
        <v>0.85050000000000014</v>
      </c>
      <c r="I97" s="183">
        <v>3.912300000000001</v>
      </c>
      <c r="K97" s="133">
        <v>311.88402000000002</v>
      </c>
      <c r="AA97" s="209" t="s">
        <v>3458</v>
      </c>
      <c r="AB97" s="209" t="s">
        <v>3127</v>
      </c>
      <c r="AH97" s="198" t="s">
        <v>553</v>
      </c>
      <c r="AI97" s="198" t="s">
        <v>3200</v>
      </c>
    </row>
    <row r="98" spans="1:35">
      <c r="B98" s="197" t="s">
        <v>6</v>
      </c>
      <c r="C98" s="492" t="s">
        <v>28</v>
      </c>
      <c r="D98" s="492"/>
      <c r="E98" s="492" t="s">
        <v>28</v>
      </c>
      <c r="F98" s="492"/>
      <c r="G98" s="492" t="s">
        <v>28</v>
      </c>
      <c r="H98" s="492"/>
      <c r="I98" s="492" t="s">
        <v>28</v>
      </c>
      <c r="J98" s="492"/>
      <c r="K98" s="492" t="s">
        <v>28</v>
      </c>
      <c r="L98" s="493"/>
      <c r="M98" s="175"/>
      <c r="AA98" s="178" t="s">
        <v>3371</v>
      </c>
      <c r="AB98" s="178" t="s">
        <v>3128</v>
      </c>
      <c r="AH98" s="198" t="s">
        <v>864</v>
      </c>
      <c r="AI98" s="198" t="s">
        <v>3203</v>
      </c>
    </row>
    <row r="99" spans="1:35">
      <c r="A99" s="487" t="s">
        <v>1195</v>
      </c>
      <c r="B99" s="333" t="str">
        <f t="shared" ref="B99" si="11">IF($D$1=1,M99,
IF($D$1=2,N99,
IF($D$1=3,O99,
IF($D$1=4,P99,
IF($D$1=5,Q99,
IF($D$1=6,R99,0))))))</f>
        <v>Číre</v>
      </c>
      <c r="C99" s="170">
        <f t="shared" si="9"/>
        <v>44.793485029940122</v>
      </c>
      <c r="D99" s="256"/>
      <c r="E99" s="258">
        <v>1288.8720000000001</v>
      </c>
      <c r="F99" s="258"/>
      <c r="G99" s="134">
        <v>44.793485029940122</v>
      </c>
      <c r="H99" s="134"/>
      <c r="I99" s="258">
        <v>203.86080000000001</v>
      </c>
      <c r="J99" s="258"/>
      <c r="K99" s="258">
        <v>18342.580645161292</v>
      </c>
      <c r="L99" s="258"/>
      <c r="M99" s="198" t="s">
        <v>385</v>
      </c>
      <c r="N99" s="198" t="s">
        <v>386</v>
      </c>
      <c r="O99" s="198" t="s">
        <v>387</v>
      </c>
      <c r="P99" s="198" t="s">
        <v>388</v>
      </c>
      <c r="Q99" s="133" t="s">
        <v>1399</v>
      </c>
      <c r="R99" s="325" t="s">
        <v>3800</v>
      </c>
      <c r="T99" s="133">
        <v>2550</v>
      </c>
      <c r="U99" s="133">
        <v>1605</v>
      </c>
      <c r="AA99" s="178" t="s">
        <v>3372</v>
      </c>
      <c r="AB99" s="178" t="s">
        <v>3129</v>
      </c>
      <c r="AH99" s="198" t="s">
        <v>328</v>
      </c>
      <c r="AI99" s="198" t="s">
        <v>3211</v>
      </c>
    </row>
    <row r="100" spans="1:35">
      <c r="A100" s="487"/>
      <c r="B100" s="182" t="s">
        <v>2200</v>
      </c>
      <c r="C100" s="170">
        <f t="shared" si="9"/>
        <v>6.1819200000000007</v>
      </c>
      <c r="D100" s="134"/>
      <c r="E100">
        <v>157.12618723199998</v>
      </c>
      <c r="G100">
        <v>6.1819200000000007</v>
      </c>
      <c r="H100"/>
      <c r="I100">
        <v>27.538704000000006</v>
      </c>
      <c r="J100" s="258"/>
      <c r="K100">
        <v>2137.5912960000005</v>
      </c>
      <c r="L100" s="258"/>
      <c r="M100" s="198" t="s">
        <v>1139</v>
      </c>
      <c r="N100" s="198" t="s">
        <v>1139</v>
      </c>
      <c r="O100" s="198" t="s">
        <v>1140</v>
      </c>
      <c r="P100" s="198" t="s">
        <v>1138</v>
      </c>
      <c r="Q100" s="133" t="s">
        <v>1438</v>
      </c>
      <c r="R100" s="325" t="s">
        <v>3792</v>
      </c>
      <c r="AA100" s="178" t="s">
        <v>3373</v>
      </c>
      <c r="AB100" s="209" t="s">
        <v>2568</v>
      </c>
      <c r="AH100" s="198" t="s">
        <v>869</v>
      </c>
      <c r="AI100" s="198" t="s">
        <v>3212</v>
      </c>
    </row>
    <row r="101" spans="1:35">
      <c r="A101" s="487"/>
      <c r="B101" s="182" t="s">
        <v>2202</v>
      </c>
      <c r="C101" s="170">
        <f t="shared" si="9"/>
        <v>6.5318400000000008</v>
      </c>
      <c r="D101" s="256"/>
      <c r="E101" s="258">
        <v>166.14551520000003</v>
      </c>
      <c r="F101" s="258"/>
      <c r="G101" s="134">
        <v>6.5318400000000008</v>
      </c>
      <c r="H101" s="134"/>
      <c r="I101" s="258">
        <v>29.113344000000001</v>
      </c>
      <c r="J101" s="258"/>
      <c r="K101" s="258">
        <v>2260.2965760000002</v>
      </c>
      <c r="L101" s="258"/>
      <c r="M101" s="198" t="s">
        <v>988</v>
      </c>
      <c r="N101" s="198" t="s">
        <v>988</v>
      </c>
      <c r="O101" s="198" t="s">
        <v>1136</v>
      </c>
      <c r="P101" s="198" t="s">
        <v>1137</v>
      </c>
      <c r="Q101" s="133" t="s">
        <v>1436</v>
      </c>
      <c r="R101" s="325" t="s">
        <v>3793</v>
      </c>
      <c r="AA101" s="178" t="s">
        <v>3374</v>
      </c>
      <c r="AB101" s="209" t="s">
        <v>3171</v>
      </c>
      <c r="AH101" s="198" t="s">
        <v>861</v>
      </c>
      <c r="AI101" s="198" t="s">
        <v>3213</v>
      </c>
    </row>
    <row r="102" spans="1:35">
      <c r="A102" s="487"/>
      <c r="B102" s="185" t="str">
        <f t="shared" ref="B102:B141" si="12">IF($D$1=1,M102,
IF($D$1=2,N102,
IF($D$1=3,O102,
IF($D$1=4,P102,
IF($D$1=5,Q102,
IF($D$1=6,R102,0))))))</f>
        <v>Folie</v>
      </c>
      <c r="C102" s="170">
        <f t="shared" si="9"/>
        <v>7.6982400000000002</v>
      </c>
      <c r="D102" s="256"/>
      <c r="E102" s="258">
        <v>167.31191520000004</v>
      </c>
      <c r="G102" s="258">
        <v>7.6982400000000002</v>
      </c>
      <c r="I102" s="134">
        <v>30.279744000000004</v>
      </c>
      <c r="J102" s="258"/>
      <c r="K102" s="134">
        <v>2261.4629760000003</v>
      </c>
      <c r="L102" s="258"/>
      <c r="M102" s="198" t="s">
        <v>933</v>
      </c>
      <c r="N102" s="198" t="s">
        <v>933</v>
      </c>
      <c r="O102" s="198" t="s">
        <v>1141</v>
      </c>
      <c r="P102" s="198" t="s">
        <v>1142</v>
      </c>
      <c r="Q102" s="133" t="s">
        <v>1437</v>
      </c>
      <c r="R102" s="325" t="s">
        <v>3794</v>
      </c>
      <c r="AA102" s="178" t="s">
        <v>3375</v>
      </c>
      <c r="AB102" s="209" t="s">
        <v>3130</v>
      </c>
      <c r="AH102" s="198" t="s">
        <v>3660</v>
      </c>
      <c r="AI102" s="198" t="s">
        <v>3214</v>
      </c>
    </row>
    <row r="103" spans="1:35">
      <c r="A103" s="487"/>
      <c r="B103" s="185" t="str">
        <f t="shared" si="12"/>
        <v>Číre kalené (dodanie 3 týždne)</v>
      </c>
      <c r="C103" s="170">
        <f t="shared" si="9"/>
        <v>8.8646400000000014</v>
      </c>
      <c r="D103" s="256"/>
      <c r="E103" s="258">
        <v>168.4783152</v>
      </c>
      <c r="F103" s="258"/>
      <c r="G103" s="134">
        <v>8.8646400000000014</v>
      </c>
      <c r="H103" s="134"/>
      <c r="I103" s="258">
        <v>31.446144000000004</v>
      </c>
      <c r="J103" s="258"/>
      <c r="K103" s="258">
        <v>2262.6293760000003</v>
      </c>
      <c r="L103" s="258"/>
      <c r="M103" s="198" t="s">
        <v>547</v>
      </c>
      <c r="N103" s="198" t="s">
        <v>548</v>
      </c>
      <c r="O103" s="198" t="s">
        <v>2382</v>
      </c>
      <c r="P103" s="198" t="s">
        <v>553</v>
      </c>
      <c r="Q103" s="133" t="s">
        <v>3669</v>
      </c>
      <c r="R103" s="325" t="s">
        <v>3795</v>
      </c>
      <c r="AA103" s="178" t="s">
        <v>3376</v>
      </c>
      <c r="AB103" s="209" t="s">
        <v>3131</v>
      </c>
      <c r="AH103" s="198" t="s">
        <v>3661</v>
      </c>
      <c r="AI103" s="198" t="s">
        <v>2572</v>
      </c>
    </row>
    <row r="104" spans="1:35">
      <c r="A104" s="487"/>
      <c r="B104" s="185" t="str">
        <f t="shared" si="12"/>
        <v>Satinato</v>
      </c>
      <c r="C104" s="170">
        <f t="shared" si="9"/>
        <v>57.140407185628746</v>
      </c>
      <c r="D104" s="256"/>
      <c r="E104" s="258">
        <v>1644.1379999999999</v>
      </c>
      <c r="F104" s="258"/>
      <c r="G104" s="134">
        <v>57.140407185628746</v>
      </c>
      <c r="H104" s="134"/>
      <c r="I104" s="258">
        <v>260.0532</v>
      </c>
      <c r="J104" s="258"/>
      <c r="K104" s="258">
        <v>23398.548387096776</v>
      </c>
      <c r="L104" s="258"/>
      <c r="M104" s="198" t="s">
        <v>389</v>
      </c>
      <c r="N104" s="198" t="s">
        <v>389</v>
      </c>
      <c r="O104" s="198" t="s">
        <v>3201</v>
      </c>
      <c r="P104" s="198" t="s">
        <v>389</v>
      </c>
      <c r="Q104" s="133" t="s">
        <v>389</v>
      </c>
      <c r="R104" s="325" t="s">
        <v>389</v>
      </c>
      <c r="T104" s="133">
        <v>2550</v>
      </c>
      <c r="U104" s="133">
        <v>1605</v>
      </c>
      <c r="AA104" s="209" t="s">
        <v>3377</v>
      </c>
      <c r="AB104" s="209" t="s">
        <v>3132</v>
      </c>
      <c r="AH104" s="198" t="s">
        <v>3662</v>
      </c>
      <c r="AI104" s="198" t="s">
        <v>3218</v>
      </c>
    </row>
    <row r="105" spans="1:35">
      <c r="A105" s="487"/>
      <c r="B105" s="185" t="str">
        <f t="shared" si="12"/>
        <v>MASTER SOFT</v>
      </c>
      <c r="C105" s="170">
        <f t="shared" si="9"/>
        <v>74.081532934131729</v>
      </c>
      <c r="D105" s="256"/>
      <c r="E105" s="258">
        <v>2131.5959999999995</v>
      </c>
      <c r="F105" s="258"/>
      <c r="G105" s="134">
        <v>74.081532934131729</v>
      </c>
      <c r="H105" s="134"/>
      <c r="I105" s="258">
        <v>337.15439999999995</v>
      </c>
      <c r="J105" s="258"/>
      <c r="K105" s="258">
        <v>30335.806451612902</v>
      </c>
      <c r="L105" s="258"/>
      <c r="M105" s="198" t="s">
        <v>3589</v>
      </c>
      <c r="N105" s="198" t="s">
        <v>3589</v>
      </c>
      <c r="O105" s="198" t="s">
        <v>3202</v>
      </c>
      <c r="P105" s="198" t="s">
        <v>3589</v>
      </c>
      <c r="Q105" s="133" t="s">
        <v>3589</v>
      </c>
      <c r="R105" s="325" t="s">
        <v>3589</v>
      </c>
      <c r="T105" s="133">
        <v>2700</v>
      </c>
      <c r="U105" s="133">
        <v>1605</v>
      </c>
      <c r="AA105" s="209" t="s">
        <v>3462</v>
      </c>
      <c r="AB105" s="209" t="s">
        <v>3133</v>
      </c>
      <c r="AH105" s="198" t="s">
        <v>3663</v>
      </c>
      <c r="AI105" s="198" t="s">
        <v>3220</v>
      </c>
    </row>
    <row r="106" spans="1:35">
      <c r="A106" s="487"/>
      <c r="B106" s="185" t="str">
        <f t="shared" si="12"/>
        <v>Satinato hnedé / Decormat Braz</v>
      </c>
      <c r="C106" s="170">
        <f t="shared" si="9"/>
        <v>72.64584431137726</v>
      </c>
      <c r="D106" s="134"/>
      <c r="E106" s="258">
        <v>2090.2860000000001</v>
      </c>
      <c r="F106" s="258"/>
      <c r="G106" s="134">
        <v>72.64584431137726</v>
      </c>
      <c r="H106" s="134"/>
      <c r="I106" s="258">
        <v>330.62040000000002</v>
      </c>
      <c r="J106" s="258"/>
      <c r="K106" s="258">
        <v>29747.903225806454</v>
      </c>
      <c r="L106" s="258"/>
      <c r="M106" s="198" t="s">
        <v>3590</v>
      </c>
      <c r="N106" s="198" t="s">
        <v>3686</v>
      </c>
      <c r="O106" s="198" t="s">
        <v>3597</v>
      </c>
      <c r="P106" s="198" t="s">
        <v>3688</v>
      </c>
      <c r="Q106" s="133" t="s">
        <v>3689</v>
      </c>
      <c r="R106" s="325" t="s">
        <v>3801</v>
      </c>
      <c r="T106" s="133">
        <v>2700</v>
      </c>
      <c r="U106" s="133">
        <v>1605</v>
      </c>
      <c r="AA106" s="177" t="s">
        <v>3466</v>
      </c>
      <c r="AB106" s="209" t="s">
        <v>3134</v>
      </c>
      <c r="AH106" s="198" t="s">
        <v>3664</v>
      </c>
      <c r="AI106" s="198" t="s">
        <v>3223</v>
      </c>
    </row>
    <row r="107" spans="1:35">
      <c r="A107" s="487"/>
      <c r="B107" s="185" t="str">
        <f t="shared" si="12"/>
        <v>Satinato grafit  / Decormat grafit</v>
      </c>
      <c r="C107" s="170">
        <f t="shared" si="9"/>
        <v>72.64584431137726</v>
      </c>
      <c r="D107" s="256"/>
      <c r="E107" s="258">
        <v>2090.2860000000001</v>
      </c>
      <c r="F107" s="258"/>
      <c r="G107" s="134">
        <v>72.64584431137726</v>
      </c>
      <c r="H107" s="134"/>
      <c r="I107" s="258">
        <v>330.62040000000002</v>
      </c>
      <c r="J107" s="258"/>
      <c r="K107" s="258">
        <v>29747.903225806454</v>
      </c>
      <c r="L107" s="258"/>
      <c r="M107" s="198" t="s">
        <v>3591</v>
      </c>
      <c r="N107" s="198" t="s">
        <v>3687</v>
      </c>
      <c r="O107" s="198" t="s">
        <v>3598</v>
      </c>
      <c r="P107" s="198" t="s">
        <v>3687</v>
      </c>
      <c r="Q107" s="133" t="s">
        <v>3690</v>
      </c>
      <c r="R107" s="325" t="s">
        <v>3802</v>
      </c>
      <c r="T107" s="133">
        <v>2700</v>
      </c>
      <c r="U107" s="133">
        <v>1605</v>
      </c>
      <c r="AA107" s="185" t="s">
        <v>3378</v>
      </c>
      <c r="AB107" s="185" t="s">
        <v>3135</v>
      </c>
      <c r="AH107" s="198" t="s">
        <v>3665</v>
      </c>
      <c r="AI107" s="198" t="s">
        <v>3224</v>
      </c>
    </row>
    <row r="108" spans="1:35">
      <c r="A108" s="487"/>
      <c r="B108" s="185" t="str">
        <f t="shared" si="12"/>
        <v>Masterscreen - max rozmer 2160 x 1650 mm</v>
      </c>
      <c r="C108" s="170">
        <f t="shared" si="9"/>
        <v>79.250011976047915</v>
      </c>
      <c r="D108" s="256"/>
      <c r="E108" s="258">
        <v>2280.3119999999999</v>
      </c>
      <c r="F108" s="258"/>
      <c r="G108" s="134">
        <v>79.250011976047915</v>
      </c>
      <c r="H108" s="134"/>
      <c r="I108" s="258">
        <v>360.67679999999996</v>
      </c>
      <c r="J108" s="258"/>
      <c r="K108" s="258">
        <v>32452.258064516129</v>
      </c>
      <c r="L108" s="258"/>
      <c r="M108" s="198" t="s">
        <v>3625</v>
      </c>
      <c r="N108" s="198" t="s">
        <v>3626</v>
      </c>
      <c r="O108" s="198" t="s">
        <v>3627</v>
      </c>
      <c r="P108" s="198" t="s">
        <v>3628</v>
      </c>
      <c r="Q108" s="133" t="s">
        <v>3629</v>
      </c>
      <c r="R108" s="325" t="s">
        <v>3803</v>
      </c>
      <c r="T108" s="133">
        <v>2160</v>
      </c>
      <c r="U108" s="133">
        <v>1650</v>
      </c>
      <c r="AA108" s="185" t="s">
        <v>3379</v>
      </c>
      <c r="AB108" s="185" t="s">
        <v>3136</v>
      </c>
      <c r="AH108" s="199" t="s">
        <v>3666</v>
      </c>
      <c r="AI108" s="198" t="s">
        <v>3231</v>
      </c>
    </row>
    <row r="109" spans="1:35">
      <c r="A109" s="487"/>
      <c r="B109" s="185" t="str">
        <f t="shared" si="12"/>
        <v>Venus VG10</v>
      </c>
      <c r="C109" s="170">
        <f t="shared" si="9"/>
        <v>71.669576047904201</v>
      </c>
      <c r="D109" s="134"/>
      <c r="E109" s="258">
        <v>2062.1952000000001</v>
      </c>
      <c r="F109" s="258"/>
      <c r="G109" s="134">
        <v>71.669576047904201</v>
      </c>
      <c r="H109" s="134"/>
      <c r="I109" s="258">
        <v>326.17728000000005</v>
      </c>
      <c r="J109" s="258"/>
      <c r="K109" s="258">
        <v>29348.129032258068</v>
      </c>
      <c r="L109" s="258"/>
      <c r="M109" s="198" t="s">
        <v>812</v>
      </c>
      <c r="N109" s="198" t="s">
        <v>812</v>
      </c>
      <c r="O109" s="198" t="s">
        <v>3205</v>
      </c>
      <c r="P109" s="198" t="s">
        <v>812</v>
      </c>
      <c r="Q109" s="198" t="s">
        <v>812</v>
      </c>
      <c r="R109" s="325" t="s">
        <v>812</v>
      </c>
      <c r="T109" s="133">
        <v>3210</v>
      </c>
      <c r="U109" s="133">
        <v>2250</v>
      </c>
      <c r="AA109" s="185" t="s">
        <v>3380</v>
      </c>
      <c r="AB109" s="185" t="s">
        <v>3137</v>
      </c>
      <c r="AH109" s="199" t="s">
        <v>3601</v>
      </c>
      <c r="AI109" s="198" t="s">
        <v>3232</v>
      </c>
    </row>
    <row r="110" spans="1:35">
      <c r="A110" s="487"/>
      <c r="B110" s="185" t="str">
        <f t="shared" si="12"/>
        <v>Stopsol bronz  - max rozmer 2250 x 1605 mm</v>
      </c>
      <c r="C110" s="170">
        <f t="shared" si="9"/>
        <v>96.478275449101787</v>
      </c>
      <c r="D110" s="256"/>
      <c r="E110" s="258">
        <v>2776.0319999999997</v>
      </c>
      <c r="F110" s="258"/>
      <c r="G110" s="134">
        <v>96.478275449101787</v>
      </c>
      <c r="H110" s="134"/>
      <c r="I110" s="258">
        <v>439.08479999999997</v>
      </c>
      <c r="J110" s="258"/>
      <c r="K110" s="258">
        <v>39507.096774193546</v>
      </c>
      <c r="L110" s="258"/>
      <c r="M110" s="198" t="s">
        <v>3635</v>
      </c>
      <c r="N110" s="198" t="s">
        <v>3636</v>
      </c>
      <c r="O110" s="198" t="s">
        <v>3637</v>
      </c>
      <c r="P110" s="198" t="s">
        <v>3638</v>
      </c>
      <c r="Q110" s="133" t="s">
        <v>3639</v>
      </c>
      <c r="R110" s="325" t="s">
        <v>3796</v>
      </c>
      <c r="T110" s="133">
        <v>2250</v>
      </c>
      <c r="U110" s="133">
        <v>1605</v>
      </c>
      <c r="AA110" s="185" t="s">
        <v>3381</v>
      </c>
      <c r="AB110" s="185" t="s">
        <v>2599</v>
      </c>
      <c r="AH110" s="199" t="s">
        <v>3667</v>
      </c>
      <c r="AI110" s="198" t="s">
        <v>3233</v>
      </c>
    </row>
    <row r="111" spans="1:35">
      <c r="A111" s="487"/>
      <c r="B111" s="185" t="str">
        <f t="shared" si="12"/>
        <v>Lakomat</v>
      </c>
      <c r="C111" s="170">
        <f t="shared" si="9"/>
        <v>63.457437125748505</v>
      </c>
      <c r="D111" s="256"/>
      <c r="E111" s="258">
        <v>1825.9019999999998</v>
      </c>
      <c r="F111" s="258"/>
      <c r="G111" s="134">
        <v>63.457437125748505</v>
      </c>
      <c r="H111" s="134"/>
      <c r="I111" s="258">
        <v>288.80279999999999</v>
      </c>
      <c r="J111" s="258"/>
      <c r="K111" s="258">
        <v>25985.322580645159</v>
      </c>
      <c r="L111" s="258"/>
      <c r="M111" s="198" t="s">
        <v>390</v>
      </c>
      <c r="N111" s="198" t="s">
        <v>390</v>
      </c>
      <c r="O111" s="198" t="s">
        <v>3207</v>
      </c>
      <c r="P111" s="198" t="s">
        <v>390</v>
      </c>
      <c r="Q111" s="133" t="s">
        <v>3670</v>
      </c>
      <c r="R111" s="325" t="s">
        <v>390</v>
      </c>
      <c r="T111" s="133">
        <v>2550</v>
      </c>
      <c r="U111" s="133">
        <v>1605</v>
      </c>
      <c r="AA111" s="185" t="s">
        <v>3382</v>
      </c>
      <c r="AB111" s="185" t="s">
        <v>3138</v>
      </c>
      <c r="AH111" s="199" t="s">
        <v>3668</v>
      </c>
      <c r="AI111" s="198" t="s">
        <v>3234</v>
      </c>
    </row>
    <row r="112" spans="1:35">
      <c r="A112" s="487"/>
      <c r="B112" s="185"/>
      <c r="C112" s="170"/>
      <c r="D112" s="256"/>
      <c r="E112" s="258"/>
      <c r="F112" s="258"/>
      <c r="G112" s="134"/>
      <c r="H112" s="134"/>
      <c r="I112" s="258"/>
      <c r="J112" s="258"/>
      <c r="K112" s="258"/>
      <c r="L112" s="258"/>
      <c r="M112" s="198"/>
      <c r="N112" s="198"/>
      <c r="O112" s="198"/>
      <c r="P112" s="198"/>
      <c r="R112" s="325"/>
      <c r="T112" s="133">
        <v>2000</v>
      </c>
      <c r="U112" s="133">
        <v>1605</v>
      </c>
      <c r="AA112" s="185" t="s">
        <v>3383</v>
      </c>
      <c r="AB112" s="185" t="s">
        <v>3173</v>
      </c>
      <c r="AH112" s="199" t="s">
        <v>329</v>
      </c>
      <c r="AI112" s="198" t="s">
        <v>3237</v>
      </c>
    </row>
    <row r="113" spans="1:35">
      <c r="A113" s="487"/>
      <c r="B113" s="185" t="str">
        <f t="shared" si="12"/>
        <v>Antisol bronz</v>
      </c>
      <c r="C113" s="170">
        <f t="shared" si="9"/>
        <v>56.738414371257491</v>
      </c>
      <c r="D113" s="256"/>
      <c r="E113" s="258">
        <v>1632.5712000000001</v>
      </c>
      <c r="F113" s="258"/>
      <c r="G113" s="134">
        <v>56.738414371257491</v>
      </c>
      <c r="H113" s="134"/>
      <c r="I113" s="258">
        <v>258.22368</v>
      </c>
      <c r="J113" s="258"/>
      <c r="K113" s="258">
        <v>23233.93548387097</v>
      </c>
      <c r="L113" s="258"/>
      <c r="M113" s="198" t="s">
        <v>397</v>
      </c>
      <c r="N113" s="198" t="s">
        <v>397</v>
      </c>
      <c r="O113" s="198" t="s">
        <v>3209</v>
      </c>
      <c r="P113" s="198" t="s">
        <v>397</v>
      </c>
      <c r="Q113" s="133" t="s">
        <v>892</v>
      </c>
      <c r="R113" s="325" t="s">
        <v>892</v>
      </c>
      <c r="T113" s="133">
        <v>2550</v>
      </c>
      <c r="U113" s="133">
        <v>1605</v>
      </c>
      <c r="AA113" s="178" t="s">
        <v>3391</v>
      </c>
      <c r="AB113" s="178" t="s">
        <v>3098</v>
      </c>
      <c r="AH113" s="199" t="s">
        <v>330</v>
      </c>
      <c r="AI113" s="198" t="s">
        <v>3239</v>
      </c>
    </row>
    <row r="114" spans="1:35">
      <c r="A114" s="487"/>
      <c r="B114" s="185" t="str">
        <f t="shared" si="12"/>
        <v>Antisol grafit</v>
      </c>
      <c r="C114" s="170">
        <f t="shared" si="9"/>
        <v>56.738414371257491</v>
      </c>
      <c r="D114" s="256"/>
      <c r="E114" s="258">
        <v>1632.5712000000001</v>
      </c>
      <c r="F114" s="258"/>
      <c r="G114" s="134">
        <v>56.738414371257491</v>
      </c>
      <c r="H114" s="134"/>
      <c r="I114" s="258">
        <v>258.22368</v>
      </c>
      <c r="J114" s="258"/>
      <c r="K114" s="258">
        <v>23233.93548387097</v>
      </c>
      <c r="L114" s="258"/>
      <c r="M114" s="198" t="s">
        <v>398</v>
      </c>
      <c r="N114" s="198" t="s">
        <v>398</v>
      </c>
      <c r="O114" s="198" t="s">
        <v>3210</v>
      </c>
      <c r="P114" s="198" t="s">
        <v>398</v>
      </c>
      <c r="Q114" s="133" t="s">
        <v>893</v>
      </c>
      <c r="R114" s="325" t="s">
        <v>893</v>
      </c>
      <c r="T114" s="133">
        <v>2550</v>
      </c>
      <c r="U114" s="133">
        <v>1605</v>
      </c>
      <c r="AA114" s="178" t="s">
        <v>3392</v>
      </c>
      <c r="AB114" s="178" t="s">
        <v>3169</v>
      </c>
      <c r="AH114" s="199" t="s">
        <v>872</v>
      </c>
      <c r="AI114" s="198" t="s">
        <v>3240</v>
      </c>
    </row>
    <row r="115" spans="1:35">
      <c r="A115" s="487"/>
      <c r="B115" s="185" t="str">
        <f t="shared" si="12"/>
        <v>Zrkadlo</v>
      </c>
      <c r="C115" s="170">
        <f t="shared" si="9"/>
        <v>59.724646706586839</v>
      </c>
      <c r="D115" s="256"/>
      <c r="E115" s="258">
        <v>1718.4960000000001</v>
      </c>
      <c r="F115" s="258"/>
      <c r="G115" s="134">
        <v>59.724646706586839</v>
      </c>
      <c r="H115" s="134"/>
      <c r="I115" s="258">
        <v>271.81440000000003</v>
      </c>
      <c r="J115" s="258"/>
      <c r="K115" s="258">
        <v>24456.774193548394</v>
      </c>
      <c r="L115" s="258"/>
      <c r="M115" s="198" t="s">
        <v>391</v>
      </c>
      <c r="N115" s="198" t="s">
        <v>392</v>
      </c>
      <c r="O115" s="198" t="s">
        <v>3211</v>
      </c>
      <c r="P115" s="198" t="s">
        <v>328</v>
      </c>
      <c r="Q115" s="133" t="s">
        <v>894</v>
      </c>
      <c r="R115" s="325" t="s">
        <v>3804</v>
      </c>
      <c r="T115" s="133">
        <v>2550</v>
      </c>
      <c r="U115" s="133">
        <v>1605</v>
      </c>
      <c r="AA115" s="178" t="s">
        <v>3393</v>
      </c>
      <c r="AB115" s="178" t="s">
        <v>3099</v>
      </c>
      <c r="AH115" s="133" t="s">
        <v>1399</v>
      </c>
      <c r="AI115" s="198" t="s">
        <v>387</v>
      </c>
    </row>
    <row r="116" spans="1:35">
      <c r="A116" s="487"/>
      <c r="B116" s="185" t="str">
        <f t="shared" si="12"/>
        <v>Zrkadlo hnedé</v>
      </c>
      <c r="C116" s="170">
        <f t="shared" si="9"/>
        <v>78.388598802395222</v>
      </c>
      <c r="D116" s="256"/>
      <c r="E116" s="258">
        <v>2255.5260000000003</v>
      </c>
      <c r="F116" s="258"/>
      <c r="G116" s="134">
        <v>78.388598802395222</v>
      </c>
      <c r="H116" s="134"/>
      <c r="I116" s="258">
        <v>356.75640000000004</v>
      </c>
      <c r="J116" s="258"/>
      <c r="K116" s="258">
        <v>32099.516129032261</v>
      </c>
      <c r="L116" s="258"/>
      <c r="M116" s="198" t="s">
        <v>857</v>
      </c>
      <c r="N116" s="198" t="s">
        <v>865</v>
      </c>
      <c r="O116" s="198" t="s">
        <v>3212</v>
      </c>
      <c r="P116" s="198" t="s">
        <v>869</v>
      </c>
      <c r="Q116" s="133" t="s">
        <v>895</v>
      </c>
      <c r="R116" s="325" t="s">
        <v>3805</v>
      </c>
      <c r="T116" s="133">
        <v>2250</v>
      </c>
      <c r="U116" s="133">
        <v>1605</v>
      </c>
      <c r="AA116" s="178" t="s">
        <v>3430</v>
      </c>
      <c r="AB116" s="178" t="s">
        <v>3100</v>
      </c>
      <c r="AH116" s="133" t="s">
        <v>1438</v>
      </c>
      <c r="AI116" s="198" t="s">
        <v>1140</v>
      </c>
    </row>
    <row r="117" spans="1:35">
      <c r="A117" s="487"/>
      <c r="B117" s="185" t="str">
        <f t="shared" si="12"/>
        <v>Zrkadlo grafit</v>
      </c>
      <c r="C117" s="170">
        <f t="shared" si="9"/>
        <v>78.388598802395222</v>
      </c>
      <c r="D117" s="256"/>
      <c r="E117" s="258">
        <v>2255.5260000000003</v>
      </c>
      <c r="F117" s="258"/>
      <c r="G117" s="134">
        <v>78.388598802395222</v>
      </c>
      <c r="H117" s="134"/>
      <c r="I117" s="258">
        <v>356.75640000000004</v>
      </c>
      <c r="J117" s="258"/>
      <c r="K117" s="258">
        <v>32099.516129032261</v>
      </c>
      <c r="L117" s="258"/>
      <c r="M117" s="198" t="s">
        <v>858</v>
      </c>
      <c r="N117" s="198" t="s">
        <v>859</v>
      </c>
      <c r="O117" s="198" t="s">
        <v>3213</v>
      </c>
      <c r="P117" s="198" t="s">
        <v>861</v>
      </c>
      <c r="Q117" s="133" t="s">
        <v>3671</v>
      </c>
      <c r="R117" s="325" t="s">
        <v>3797</v>
      </c>
      <c r="T117" s="133">
        <v>2550</v>
      </c>
      <c r="U117" s="133">
        <v>1605</v>
      </c>
      <c r="AA117" s="178" t="s">
        <v>3394</v>
      </c>
      <c r="AB117" s="178" t="s">
        <v>3101</v>
      </c>
      <c r="AH117" s="133" t="s">
        <v>1436</v>
      </c>
      <c r="AI117" s="198" t="s">
        <v>1136</v>
      </c>
    </row>
    <row r="118" spans="1:35">
      <c r="A118" s="487"/>
      <c r="B118" s="185" t="str">
        <f t="shared" si="12"/>
        <v>VISIOSUN horizont</v>
      </c>
      <c r="C118" s="170">
        <f t="shared" si="9"/>
        <v>74.081532934131729</v>
      </c>
      <c r="D118" s="256"/>
      <c r="E118" s="258">
        <v>2131.5959999999995</v>
      </c>
      <c r="F118" s="258"/>
      <c r="G118" s="134">
        <v>74.081532934131729</v>
      </c>
      <c r="H118" s="134"/>
      <c r="I118" s="258">
        <v>337.15439999999995</v>
      </c>
      <c r="J118" s="258"/>
      <c r="K118" s="258">
        <v>30335.806451612902</v>
      </c>
      <c r="L118" s="258"/>
      <c r="M118" s="198" t="s">
        <v>3614</v>
      </c>
      <c r="N118" s="198" t="s">
        <v>3614</v>
      </c>
      <c r="O118" s="198" t="s">
        <v>3214</v>
      </c>
      <c r="P118" s="198" t="s">
        <v>3660</v>
      </c>
      <c r="Q118" s="133" t="s">
        <v>3614</v>
      </c>
      <c r="R118" s="325" t="s">
        <v>3806</v>
      </c>
      <c r="T118" s="133">
        <v>3210</v>
      </c>
      <c r="U118" s="133">
        <v>2000</v>
      </c>
      <c r="AA118" s="178" t="s">
        <v>3395</v>
      </c>
      <c r="AB118" s="178" t="s">
        <v>3102</v>
      </c>
      <c r="AH118" s="133" t="s">
        <v>1437</v>
      </c>
      <c r="AI118" s="198" t="s">
        <v>1141</v>
      </c>
    </row>
    <row r="119" spans="1:35">
      <c r="A119" s="487"/>
      <c r="B119" s="185" t="str">
        <f t="shared" si="12"/>
        <v>Krizet - max rozmer 2130x1650 mm</v>
      </c>
      <c r="C119" s="170">
        <f t="shared" si="9"/>
        <v>79.250011976047915</v>
      </c>
      <c r="D119" s="256"/>
      <c r="E119" s="258">
        <v>2280.3119999999999</v>
      </c>
      <c r="F119" s="258"/>
      <c r="G119" s="134">
        <v>79.250011976047915</v>
      </c>
      <c r="H119" s="134"/>
      <c r="I119" s="258">
        <v>360.67679999999996</v>
      </c>
      <c r="J119" s="258"/>
      <c r="K119" s="258">
        <v>32452.258064516129</v>
      </c>
      <c r="L119" s="258"/>
      <c r="M119" s="198" t="s">
        <v>3630</v>
      </c>
      <c r="N119" s="198" t="s">
        <v>3631</v>
      </c>
      <c r="O119" s="198" t="s">
        <v>3632</v>
      </c>
      <c r="P119" s="198" t="s">
        <v>3633</v>
      </c>
      <c r="Q119" s="133" t="s">
        <v>3634</v>
      </c>
      <c r="R119" s="325" t="s">
        <v>3798</v>
      </c>
      <c r="T119" s="133">
        <v>2130</v>
      </c>
      <c r="U119" s="133">
        <v>1650</v>
      </c>
      <c r="AA119" s="178" t="s">
        <v>3396</v>
      </c>
      <c r="AB119" s="178" t="s">
        <v>3103</v>
      </c>
      <c r="AH119" s="133" t="s">
        <v>3669</v>
      </c>
      <c r="AI119" s="198" t="s">
        <v>3200</v>
      </c>
    </row>
    <row r="120" spans="1:35">
      <c r="A120" s="487"/>
      <c r="B120" s="185" t="str">
        <f t="shared" si="12"/>
        <v>Master (Carre)</v>
      </c>
      <c r="C120" s="170">
        <f t="shared" si="9"/>
        <v>64.203995209580839</v>
      </c>
      <c r="D120" s="256"/>
      <c r="E120" s="258">
        <v>1847.3831999999998</v>
      </c>
      <c r="F120" s="258"/>
      <c r="G120" s="134">
        <v>64.203995209580839</v>
      </c>
      <c r="H120" s="134"/>
      <c r="I120" s="258">
        <v>292.20047999999997</v>
      </c>
      <c r="J120" s="258"/>
      <c r="K120" s="258">
        <v>26291.032258064515</v>
      </c>
      <c r="L120" s="258"/>
      <c r="M120" s="198" t="s">
        <v>394</v>
      </c>
      <c r="N120" s="198" t="s">
        <v>394</v>
      </c>
      <c r="O120" s="198" t="s">
        <v>3216</v>
      </c>
      <c r="P120" s="198" t="s">
        <v>394</v>
      </c>
      <c r="Q120" s="133" t="s">
        <v>394</v>
      </c>
      <c r="R120" s="325" t="s">
        <v>394</v>
      </c>
      <c r="T120" s="133">
        <v>2700</v>
      </c>
      <c r="U120" s="133">
        <v>1605</v>
      </c>
      <c r="AA120" s="179" t="s">
        <v>3532</v>
      </c>
      <c r="AB120" s="179" t="s">
        <v>1603</v>
      </c>
      <c r="AH120" s="133" t="s">
        <v>889</v>
      </c>
      <c r="AI120" s="198" t="s">
        <v>3203</v>
      </c>
    </row>
    <row r="121" spans="1:35">
      <c r="A121" s="487"/>
      <c r="B121" s="185" t="str">
        <f t="shared" si="12"/>
        <v>Master  Ligne horizont</v>
      </c>
      <c r="C121" s="170">
        <f t="shared" si="9"/>
        <v>64.203995209580839</v>
      </c>
      <c r="D121" s="256"/>
      <c r="E121" s="258">
        <v>1847.3831999999998</v>
      </c>
      <c r="F121" s="258"/>
      <c r="G121" s="134">
        <v>64.203995209580839</v>
      </c>
      <c r="H121" s="134"/>
      <c r="I121" s="258">
        <v>292.20047999999997</v>
      </c>
      <c r="J121" s="258"/>
      <c r="K121" s="258">
        <v>26291.032258064515</v>
      </c>
      <c r="L121" s="258"/>
      <c r="M121" s="199" t="s">
        <v>3615</v>
      </c>
      <c r="N121" s="198" t="s">
        <v>3615</v>
      </c>
      <c r="O121" s="198" t="s">
        <v>2572</v>
      </c>
      <c r="P121" s="198" t="s">
        <v>3661</v>
      </c>
      <c r="Q121" s="133" t="s">
        <v>3672</v>
      </c>
      <c r="R121" s="325" t="s">
        <v>3807</v>
      </c>
      <c r="T121" s="133">
        <v>2700</v>
      </c>
      <c r="U121" s="133">
        <v>1605</v>
      </c>
      <c r="AA121" s="178" t="s">
        <v>3397</v>
      </c>
      <c r="AB121" s="178" t="s">
        <v>3104</v>
      </c>
      <c r="AH121" s="133" t="s">
        <v>890</v>
      </c>
      <c r="AI121" s="198" t="s">
        <v>3204</v>
      </c>
    </row>
    <row r="122" spans="1:35">
      <c r="A122" s="487"/>
      <c r="B122" s="185" t="str">
        <f t="shared" si="12"/>
        <v>Master  Point</v>
      </c>
      <c r="C122" s="170">
        <f t="shared" si="9"/>
        <v>64.203995209580839</v>
      </c>
      <c r="D122" s="256"/>
      <c r="E122" s="258">
        <v>1847.3831999999998</v>
      </c>
      <c r="F122" s="258"/>
      <c r="G122" s="134">
        <v>64.203995209580839</v>
      </c>
      <c r="H122" s="134"/>
      <c r="I122" s="258">
        <v>292.20047999999997</v>
      </c>
      <c r="J122" s="258"/>
      <c r="K122" s="258">
        <v>26291.032258064515</v>
      </c>
      <c r="L122" s="258"/>
      <c r="M122" s="199" t="s">
        <v>395</v>
      </c>
      <c r="N122" s="198" t="s">
        <v>395</v>
      </c>
      <c r="O122" s="198" t="s">
        <v>3217</v>
      </c>
      <c r="P122" s="198" t="s">
        <v>395</v>
      </c>
      <c r="Q122" s="133" t="s">
        <v>896</v>
      </c>
      <c r="R122" s="325" t="s">
        <v>896</v>
      </c>
      <c r="T122" s="133">
        <v>2700</v>
      </c>
      <c r="U122" s="133">
        <v>1605</v>
      </c>
      <c r="AA122" s="178" t="s">
        <v>4510</v>
      </c>
      <c r="AB122" s="178" t="s">
        <v>4507</v>
      </c>
      <c r="AH122" s="133" t="s">
        <v>891</v>
      </c>
      <c r="AI122" s="198" t="s">
        <v>3206</v>
      </c>
    </row>
    <row r="123" spans="1:35">
      <c r="A123" s="487"/>
      <c r="B123" s="185" t="str">
        <f t="shared" si="12"/>
        <v>FLUTES horizont</v>
      </c>
      <c r="C123" s="170">
        <f t="shared" si="9"/>
        <v>99.062514970059908</v>
      </c>
      <c r="D123" s="256"/>
      <c r="E123" s="258">
        <v>2850.3900000000003</v>
      </c>
      <c r="F123" s="258"/>
      <c r="G123" s="134">
        <v>99.062514970059908</v>
      </c>
      <c r="H123" s="134"/>
      <c r="I123" s="258">
        <v>450.846</v>
      </c>
      <c r="J123" s="258"/>
      <c r="K123" s="258">
        <v>40565.322580645166</v>
      </c>
      <c r="L123" s="258"/>
      <c r="M123" s="199" t="s">
        <v>3616</v>
      </c>
      <c r="N123" s="198" t="s">
        <v>3616</v>
      </c>
      <c r="O123" s="198" t="s">
        <v>3218</v>
      </c>
      <c r="P123" s="198" t="s">
        <v>3662</v>
      </c>
      <c r="Q123" s="133" t="s">
        <v>3616</v>
      </c>
      <c r="R123" s="325" t="s">
        <v>3808</v>
      </c>
      <c r="T123" s="133">
        <v>2540</v>
      </c>
      <c r="U123" s="133">
        <v>1610</v>
      </c>
      <c r="AA123" s="178" t="s">
        <v>4502</v>
      </c>
      <c r="AB123" s="178" t="s">
        <v>4521</v>
      </c>
      <c r="AH123" s="133" t="s">
        <v>3670</v>
      </c>
      <c r="AI123" s="198" t="s">
        <v>3207</v>
      </c>
    </row>
    <row r="124" spans="1:35">
      <c r="A124" s="487"/>
      <c r="B124" s="182"/>
      <c r="C124" s="256"/>
      <c r="D124" s="134"/>
      <c r="E124" s="258"/>
      <c r="F124" s="258"/>
      <c r="G124" s="134"/>
      <c r="H124" s="134"/>
      <c r="I124" s="258"/>
      <c r="J124" s="258"/>
      <c r="K124" s="258"/>
      <c r="L124" s="258"/>
      <c r="M124" s="199"/>
      <c r="N124" s="198"/>
      <c r="O124" s="198"/>
      <c r="P124" s="198"/>
      <c r="AA124" s="178" t="s">
        <v>3434</v>
      </c>
      <c r="AB124" s="178" t="s">
        <v>555</v>
      </c>
      <c r="AH124" s="133" t="s">
        <v>892</v>
      </c>
      <c r="AI124" s="198" t="s">
        <v>3209</v>
      </c>
    </row>
    <row r="125" spans="1:35">
      <c r="A125" s="487"/>
      <c r="B125" s="185" t="str">
        <f t="shared" si="12"/>
        <v>Master  Ligne vertikálne</v>
      </c>
      <c r="C125" s="170">
        <f t="shared" si="9"/>
        <v>64.203995209580839</v>
      </c>
      <c r="D125" s="134"/>
      <c r="E125" s="258">
        <v>1847.3831999999998</v>
      </c>
      <c r="F125" s="258"/>
      <c r="G125" s="134">
        <v>64.203995209580839</v>
      </c>
      <c r="H125" s="134"/>
      <c r="I125" s="258">
        <v>292.20047999999997</v>
      </c>
      <c r="J125" s="258"/>
      <c r="K125" s="258">
        <v>26291.032258064515</v>
      </c>
      <c r="L125" s="258"/>
      <c r="M125" s="199" t="s">
        <v>3617</v>
      </c>
      <c r="N125" s="198" t="s">
        <v>3594</v>
      </c>
      <c r="O125" s="198" t="s">
        <v>3220</v>
      </c>
      <c r="P125" s="198" t="s">
        <v>3663</v>
      </c>
      <c r="Q125" s="133" t="s">
        <v>3673</v>
      </c>
      <c r="R125" s="325" t="s">
        <v>3809</v>
      </c>
      <c r="T125" s="133">
        <v>2700</v>
      </c>
      <c r="U125" s="133">
        <v>1605</v>
      </c>
      <c r="AA125" s="178" t="s">
        <v>3438</v>
      </c>
      <c r="AB125" s="178" t="s">
        <v>3105</v>
      </c>
      <c r="AH125" s="133" t="s">
        <v>893</v>
      </c>
      <c r="AI125" s="198" t="s">
        <v>3210</v>
      </c>
    </row>
    <row r="126" spans="1:35">
      <c r="A126" s="487"/>
      <c r="B126" s="185" t="str">
        <f t="shared" si="12"/>
        <v>Lacobel RAL 1013</v>
      </c>
      <c r="C126" s="170">
        <f t="shared" si="9"/>
        <v>82.695664670658687</v>
      </c>
      <c r="D126" s="134"/>
      <c r="E126" s="258">
        <v>2379.4559999999997</v>
      </c>
      <c r="F126" s="258"/>
      <c r="G126" s="134">
        <v>82.695664670658687</v>
      </c>
      <c r="H126" s="134"/>
      <c r="I126" s="258">
        <v>376.35839999999996</v>
      </c>
      <c r="J126" s="258"/>
      <c r="K126" s="258">
        <v>33863.225806451606</v>
      </c>
      <c r="L126" s="258"/>
      <c r="M126" s="199" t="s">
        <v>35</v>
      </c>
      <c r="N126" s="199" t="s">
        <v>35</v>
      </c>
      <c r="O126" s="198" t="s">
        <v>3221</v>
      </c>
      <c r="P126" s="199" t="s">
        <v>35</v>
      </c>
      <c r="Q126" s="133" t="s">
        <v>35</v>
      </c>
      <c r="R126" s="325" t="s">
        <v>35</v>
      </c>
      <c r="T126" s="133">
        <v>2550</v>
      </c>
      <c r="U126" s="133">
        <v>1605</v>
      </c>
      <c r="AA126" s="178" t="s">
        <v>3442</v>
      </c>
      <c r="AB126" s="178" t="s">
        <v>3106</v>
      </c>
      <c r="AH126" s="133" t="s">
        <v>894</v>
      </c>
      <c r="AI126" s="198" t="s">
        <v>3211</v>
      </c>
    </row>
    <row r="127" spans="1:35">
      <c r="A127" s="487"/>
      <c r="B127" s="185" t="str">
        <f t="shared" si="12"/>
        <v>Lacobel RAL 1015</v>
      </c>
      <c r="C127" s="170">
        <f t="shared" si="9"/>
        <v>68.913053892215572</v>
      </c>
      <c r="D127" s="134"/>
      <c r="E127" s="258">
        <v>1982.8799999999997</v>
      </c>
      <c r="F127" s="258"/>
      <c r="G127" s="134">
        <v>68.913053892215572</v>
      </c>
      <c r="H127" s="134"/>
      <c r="I127" s="258">
        <v>313.63200000000001</v>
      </c>
      <c r="J127" s="258"/>
      <c r="K127" s="258">
        <v>28219.354838709674</v>
      </c>
      <c r="L127" s="258"/>
      <c r="M127" s="199" t="s">
        <v>29</v>
      </c>
      <c r="N127" s="199" t="s">
        <v>29</v>
      </c>
      <c r="O127" s="198" t="s">
        <v>3222</v>
      </c>
      <c r="P127" s="199" t="s">
        <v>29</v>
      </c>
      <c r="Q127" s="133" t="s">
        <v>29</v>
      </c>
      <c r="R127" s="325" t="s">
        <v>29</v>
      </c>
      <c r="T127" s="133">
        <v>2550</v>
      </c>
      <c r="U127" s="133">
        <v>1605</v>
      </c>
      <c r="AA127" s="178" t="s">
        <v>3398</v>
      </c>
      <c r="AB127" s="178" t="s">
        <v>3107</v>
      </c>
      <c r="AH127" s="133" t="s">
        <v>895</v>
      </c>
      <c r="AI127" s="198" t="s">
        <v>3212</v>
      </c>
    </row>
    <row r="128" spans="1:35">
      <c r="A128" s="487"/>
      <c r="B128" s="185" t="str">
        <f t="shared" si="12"/>
        <v>FLUTES vertikálne</v>
      </c>
      <c r="C128" s="170">
        <f t="shared" si="9"/>
        <v>99.062514970059908</v>
      </c>
      <c r="D128" s="134"/>
      <c r="E128" s="258">
        <v>2850.3900000000003</v>
      </c>
      <c r="F128" s="258"/>
      <c r="G128" s="134">
        <v>99.062514970059908</v>
      </c>
      <c r="H128" s="134"/>
      <c r="I128" s="258">
        <v>450.846</v>
      </c>
      <c r="J128" s="258"/>
      <c r="K128" s="258">
        <v>40565.322580645166</v>
      </c>
      <c r="L128" s="258"/>
      <c r="M128" s="199" t="s">
        <v>3618</v>
      </c>
      <c r="N128" s="198" t="s">
        <v>3645</v>
      </c>
      <c r="O128" s="198" t="s">
        <v>3223</v>
      </c>
      <c r="P128" s="198" t="s">
        <v>3664</v>
      </c>
      <c r="Q128" s="133" t="s">
        <v>3674</v>
      </c>
      <c r="R128" s="325" t="s">
        <v>3674</v>
      </c>
      <c r="T128" s="133">
        <v>2550</v>
      </c>
      <c r="U128" s="133">
        <v>1605</v>
      </c>
      <c r="AA128" s="178" t="s">
        <v>3399</v>
      </c>
      <c r="AB128" s="178" t="s">
        <v>3108</v>
      </c>
      <c r="AH128" s="133" t="s">
        <v>3671</v>
      </c>
      <c r="AI128" s="198" t="s">
        <v>3213</v>
      </c>
    </row>
    <row r="129" spans="1:35">
      <c r="A129" s="487"/>
      <c r="B129" s="185" t="str">
        <f t="shared" si="12"/>
        <v>VISIOSUN vertikálne</v>
      </c>
      <c r="C129" s="170">
        <f t="shared" si="9"/>
        <v>74.081532934131729</v>
      </c>
      <c r="D129" s="134"/>
      <c r="E129" s="258">
        <v>2131.5959999999995</v>
      </c>
      <c r="F129" s="258"/>
      <c r="G129" s="134">
        <v>74.081532934131729</v>
      </c>
      <c r="H129" s="134"/>
      <c r="I129" s="258">
        <v>337.15439999999995</v>
      </c>
      <c r="J129" s="258"/>
      <c r="K129" s="258">
        <v>30335.806451612902</v>
      </c>
      <c r="L129" s="258"/>
      <c r="M129" s="198" t="s">
        <v>3592</v>
      </c>
      <c r="N129" s="198" t="s">
        <v>3646</v>
      </c>
      <c r="O129" s="198" t="s">
        <v>3224</v>
      </c>
      <c r="P129" s="198" t="s">
        <v>3665</v>
      </c>
      <c r="Q129" s="133" t="s">
        <v>3675</v>
      </c>
      <c r="R129" s="325" t="s">
        <v>3675</v>
      </c>
      <c r="T129" s="133">
        <v>3210</v>
      </c>
      <c r="U129" s="133">
        <v>2000</v>
      </c>
      <c r="AA129" s="178" t="s">
        <v>3400</v>
      </c>
      <c r="AB129" s="178" t="s">
        <v>3109</v>
      </c>
      <c r="AH129" s="133" t="s">
        <v>3672</v>
      </c>
      <c r="AI129" s="198" t="s">
        <v>2572</v>
      </c>
    </row>
    <row r="130" spans="1:35">
      <c r="A130" s="487"/>
      <c r="B130" s="185" t="str">
        <f t="shared" si="12"/>
        <v>VISIOSUN satén vertikálne</v>
      </c>
      <c r="C130" s="170">
        <f t="shared" si="9"/>
        <v>107.67664670658684</v>
      </c>
      <c r="D130" s="134"/>
      <c r="E130" s="258">
        <v>3098.25</v>
      </c>
      <c r="F130" s="258"/>
      <c r="G130" s="134">
        <v>107.67664670658684</v>
      </c>
      <c r="H130" s="256"/>
      <c r="I130" s="258">
        <v>504.42750000000001</v>
      </c>
      <c r="J130" s="258"/>
      <c r="K130" s="258">
        <v>44092.741935483871</v>
      </c>
      <c r="L130" s="258"/>
      <c r="M130" s="198" t="s">
        <v>3593</v>
      </c>
      <c r="N130" s="198" t="s">
        <v>3679</v>
      </c>
      <c r="O130" s="198" t="s">
        <v>3599</v>
      </c>
      <c r="P130" s="198" t="s">
        <v>3680</v>
      </c>
      <c r="Q130" s="133" t="s">
        <v>3681</v>
      </c>
      <c r="R130" s="325" t="s">
        <v>3810</v>
      </c>
      <c r="T130" s="133">
        <v>2000</v>
      </c>
      <c r="U130" s="133">
        <v>1605</v>
      </c>
      <c r="AA130" s="178" t="s">
        <v>3401</v>
      </c>
      <c r="AB130" s="178" t="s">
        <v>3110</v>
      </c>
      <c r="AH130" s="133" t="s">
        <v>896</v>
      </c>
      <c r="AI130" s="198" t="s">
        <v>3217</v>
      </c>
    </row>
    <row r="131" spans="1:35">
      <c r="A131" s="487"/>
      <c r="B131" s="185" t="str">
        <f t="shared" si="12"/>
        <v>VISIOSUN satén horizont</v>
      </c>
      <c r="C131" s="170">
        <f t="shared" si="9"/>
        <v>107.67664670658684</v>
      </c>
      <c r="D131" s="134"/>
      <c r="E131" s="258">
        <v>3098.25</v>
      </c>
      <c r="F131" s="258"/>
      <c r="G131" s="134">
        <v>107.67664670658684</v>
      </c>
      <c r="H131" s="256"/>
      <c r="I131" s="258">
        <v>504.42750000000001</v>
      </c>
      <c r="J131" s="258"/>
      <c r="K131" s="258">
        <v>44092.741935483871</v>
      </c>
      <c r="L131" s="258"/>
      <c r="M131" s="198" t="s">
        <v>3682</v>
      </c>
      <c r="N131" s="198" t="s">
        <v>3682</v>
      </c>
      <c r="O131" s="198" t="s">
        <v>3600</v>
      </c>
      <c r="P131" s="198" t="s">
        <v>3683</v>
      </c>
      <c r="Q131" s="133" t="s">
        <v>3684</v>
      </c>
      <c r="R131" s="325" t="s">
        <v>3811</v>
      </c>
      <c r="T131" s="133">
        <v>2000</v>
      </c>
      <c r="U131" s="133">
        <v>1605</v>
      </c>
      <c r="AA131" s="179" t="s">
        <v>3446</v>
      </c>
      <c r="AB131" s="179" t="s">
        <v>3111</v>
      </c>
      <c r="AH131" s="133" t="s">
        <v>3673</v>
      </c>
      <c r="AI131" s="198" t="s">
        <v>3220</v>
      </c>
    </row>
    <row r="132" spans="1:35">
      <c r="A132" s="487"/>
      <c r="B132" s="182"/>
      <c r="C132" s="256"/>
      <c r="D132" s="134"/>
      <c r="E132" s="258" t="e">
        <v>#N/A</v>
      </c>
      <c r="G132" s="134" t="e">
        <v>#N/A</v>
      </c>
      <c r="I132" s="258"/>
      <c r="K132" s="258" t="e">
        <v>#N/A</v>
      </c>
      <c r="M132" s="199"/>
      <c r="N132" s="199"/>
      <c r="O132" s="198"/>
      <c r="P132" s="199"/>
      <c r="R132" s="325"/>
      <c r="T132" s="133">
        <v>2550</v>
      </c>
      <c r="U132" s="133">
        <v>1605</v>
      </c>
      <c r="AA132" s="178" t="s">
        <v>3402</v>
      </c>
      <c r="AB132" s="178" t="s">
        <v>3112</v>
      </c>
      <c r="AH132" s="133" t="s">
        <v>3674</v>
      </c>
      <c r="AI132" s="198" t="s">
        <v>3223</v>
      </c>
    </row>
    <row r="133" spans="1:35">
      <c r="A133" s="487"/>
      <c r="B133" s="185" t="str">
        <f t="shared" si="12"/>
        <v>Lacobel RAL 7035</v>
      </c>
      <c r="C133" s="170">
        <f t="shared" si="9"/>
        <v>68.913053892215572</v>
      </c>
      <c r="D133" s="134"/>
      <c r="E133" s="258">
        <v>1982.8799999999997</v>
      </c>
      <c r="F133" s="258"/>
      <c r="G133" s="134">
        <v>68.913053892215572</v>
      </c>
      <c r="I133" s="258">
        <v>313.63200000000001</v>
      </c>
      <c r="J133" s="258"/>
      <c r="K133" s="258">
        <v>28219.354838709674</v>
      </c>
      <c r="L133" s="258"/>
      <c r="M133" s="199" t="s">
        <v>32</v>
      </c>
      <c r="N133" s="199" t="s">
        <v>32</v>
      </c>
      <c r="O133" s="198" t="s">
        <v>3225</v>
      </c>
      <c r="P133" s="199" t="s">
        <v>32</v>
      </c>
      <c r="Q133" s="133" t="s">
        <v>32</v>
      </c>
      <c r="R133" s="325" t="s">
        <v>32</v>
      </c>
      <c r="T133" s="133">
        <v>2550</v>
      </c>
      <c r="U133" s="133">
        <v>1605</v>
      </c>
      <c r="AA133" s="178" t="s">
        <v>4533</v>
      </c>
      <c r="AB133" s="178" t="s">
        <v>4522</v>
      </c>
      <c r="AH133" s="133" t="s">
        <v>3675</v>
      </c>
      <c r="AI133" s="198" t="s">
        <v>3224</v>
      </c>
    </row>
    <row r="134" spans="1:35">
      <c r="A134" s="487"/>
      <c r="B134" s="182"/>
      <c r="C134" s="256"/>
      <c r="D134" s="134"/>
      <c r="E134" s="258" t="e">
        <v>#N/A</v>
      </c>
      <c r="G134" s="134" t="e">
        <v>#N/A</v>
      </c>
      <c r="I134" s="258" t="e">
        <v>#N/A</v>
      </c>
      <c r="K134" s="258" t="e">
        <v>#N/A</v>
      </c>
      <c r="M134" s="199"/>
      <c r="N134" s="199"/>
      <c r="O134" s="198"/>
      <c r="P134" s="199"/>
      <c r="R134" s="325"/>
      <c r="T134" s="133">
        <v>2550</v>
      </c>
      <c r="U134" s="133">
        <v>1605</v>
      </c>
      <c r="AA134" s="178" t="s">
        <v>3405</v>
      </c>
      <c r="AB134" s="178" t="s">
        <v>3113</v>
      </c>
      <c r="AH134" s="133" t="s">
        <v>3676</v>
      </c>
      <c r="AI134" s="198" t="s">
        <v>3231</v>
      </c>
    </row>
    <row r="135" spans="1:35">
      <c r="A135" s="487"/>
      <c r="B135" s="185" t="str">
        <f t="shared" si="12"/>
        <v>Lacobel RAL 9003</v>
      </c>
      <c r="C135" s="170">
        <f t="shared" si="9"/>
        <v>82.695664670658687</v>
      </c>
      <c r="D135" s="134"/>
      <c r="E135" s="258">
        <v>2379.4559999999997</v>
      </c>
      <c r="F135" s="258"/>
      <c r="G135" s="134">
        <v>82.695664670658687</v>
      </c>
      <c r="H135" s="134"/>
      <c r="I135" s="258">
        <v>376.35839999999996</v>
      </c>
      <c r="J135" s="258"/>
      <c r="K135" s="258">
        <v>33863.225806451606</v>
      </c>
      <c r="L135" s="258"/>
      <c r="M135" s="199" t="s">
        <v>36</v>
      </c>
      <c r="N135" s="199" t="s">
        <v>36</v>
      </c>
      <c r="O135" s="198" t="s">
        <v>3226</v>
      </c>
      <c r="P135" s="199" t="s">
        <v>36</v>
      </c>
      <c r="Q135" s="133" t="s">
        <v>36</v>
      </c>
      <c r="R135" s="325" t="s">
        <v>3799</v>
      </c>
      <c r="T135" s="133">
        <v>2550</v>
      </c>
      <c r="U135" s="133">
        <v>1605</v>
      </c>
      <c r="AA135" s="178" t="s">
        <v>3450</v>
      </c>
      <c r="AB135" s="178" t="s">
        <v>3114</v>
      </c>
      <c r="AH135" s="133" t="s">
        <v>3677</v>
      </c>
      <c r="AI135" s="198" t="s">
        <v>3232</v>
      </c>
    </row>
    <row r="136" spans="1:35">
      <c r="A136" s="487"/>
      <c r="B136" s="185" t="str">
        <f t="shared" si="12"/>
        <v>Lacobel RAL 9005</v>
      </c>
      <c r="C136" s="170">
        <f t="shared" si="9"/>
        <v>62.710879041916165</v>
      </c>
      <c r="D136" s="134"/>
      <c r="E136" s="258">
        <v>1804.4207999999999</v>
      </c>
      <c r="F136" s="258"/>
      <c r="G136" s="134">
        <v>62.710879041916165</v>
      </c>
      <c r="H136" s="256"/>
      <c r="I136" s="258">
        <v>285.40511999999995</v>
      </c>
      <c r="J136" s="258"/>
      <c r="K136" s="258">
        <v>25679.612903225803</v>
      </c>
      <c r="L136" s="258"/>
      <c r="M136" s="199" t="s">
        <v>38</v>
      </c>
      <c r="N136" s="199" t="s">
        <v>38</v>
      </c>
      <c r="O136" s="198" t="s">
        <v>3227</v>
      </c>
      <c r="P136" s="199" t="s">
        <v>38</v>
      </c>
      <c r="Q136" s="133" t="s">
        <v>38</v>
      </c>
      <c r="R136" s="325" t="s">
        <v>38</v>
      </c>
      <c r="T136" s="133">
        <v>2550</v>
      </c>
      <c r="U136" s="133">
        <v>1605</v>
      </c>
      <c r="AA136" s="179" t="s">
        <v>3454</v>
      </c>
      <c r="AB136" s="179" t="s">
        <v>3115</v>
      </c>
      <c r="AH136" s="133" t="s">
        <v>3603</v>
      </c>
      <c r="AI136" s="198" t="s">
        <v>3233</v>
      </c>
    </row>
    <row r="137" spans="1:35">
      <c r="A137" s="487"/>
      <c r="B137" s="185" t="str">
        <f t="shared" si="12"/>
        <v>Lacobel RAL 9006</v>
      </c>
      <c r="C137" s="170">
        <f t="shared" si="9"/>
        <v>82.695664670658687</v>
      </c>
      <c r="D137" s="134"/>
      <c r="E137" s="258">
        <v>2379.4559999999997</v>
      </c>
      <c r="F137" s="258"/>
      <c r="G137" s="134">
        <v>82.695664670658687</v>
      </c>
      <c r="H137" s="256"/>
      <c r="I137" s="258">
        <v>376.35839999999996</v>
      </c>
      <c r="J137" s="258"/>
      <c r="K137" s="258">
        <v>33863.225806451606</v>
      </c>
      <c r="L137" s="258"/>
      <c r="M137" s="199" t="s">
        <v>37</v>
      </c>
      <c r="N137" s="199" t="s">
        <v>37</v>
      </c>
      <c r="O137" s="198" t="s">
        <v>3228</v>
      </c>
      <c r="P137" s="199" t="s">
        <v>37</v>
      </c>
      <c r="Q137" s="133" t="s">
        <v>37</v>
      </c>
      <c r="R137" s="325" t="s">
        <v>37</v>
      </c>
      <c r="T137" s="133">
        <v>2550</v>
      </c>
      <c r="U137" s="133">
        <v>1605</v>
      </c>
      <c r="AA137" s="178" t="s">
        <v>3408</v>
      </c>
      <c r="AB137" s="178" t="s">
        <v>3116</v>
      </c>
      <c r="AH137" s="133" t="s">
        <v>3604</v>
      </c>
      <c r="AI137" s="198" t="s">
        <v>3234</v>
      </c>
    </row>
    <row r="138" spans="1:35">
      <c r="A138" s="487"/>
      <c r="B138" s="185" t="str">
        <f t="shared" si="12"/>
        <v>Lacobel RAL 9007</v>
      </c>
      <c r="C138" s="170">
        <f t="shared" si="9"/>
        <v>82.695664670658687</v>
      </c>
      <c r="D138" s="134"/>
      <c r="E138" s="258">
        <v>2379.4559999999997</v>
      </c>
      <c r="F138" s="258"/>
      <c r="G138" s="134">
        <v>82.695664670658687</v>
      </c>
      <c r="H138" s="256"/>
      <c r="I138" s="258">
        <v>376.35839999999996</v>
      </c>
      <c r="J138" s="258"/>
      <c r="K138" s="258">
        <v>33863.225806451606</v>
      </c>
      <c r="L138" s="258"/>
      <c r="M138" s="199" t="s">
        <v>557</v>
      </c>
      <c r="N138" s="199" t="s">
        <v>557</v>
      </c>
      <c r="O138" s="198" t="s">
        <v>3229</v>
      </c>
      <c r="P138" s="199" t="s">
        <v>557</v>
      </c>
      <c r="Q138" s="133" t="s">
        <v>557</v>
      </c>
      <c r="R138" s="325" t="s">
        <v>557</v>
      </c>
      <c r="T138" s="133">
        <v>2550</v>
      </c>
      <c r="U138" s="133">
        <v>1605</v>
      </c>
      <c r="AA138" s="178" t="s">
        <v>3409</v>
      </c>
      <c r="AB138" s="178" t="s">
        <v>3117</v>
      </c>
      <c r="AH138" s="133" t="s">
        <v>897</v>
      </c>
      <c r="AI138" s="198" t="s">
        <v>3237</v>
      </c>
    </row>
    <row r="139" spans="1:35">
      <c r="A139" s="487"/>
      <c r="B139" s="185" t="str">
        <f t="shared" si="12"/>
        <v>Lacobel RAL 9010</v>
      </c>
      <c r="C139" s="170">
        <f t="shared" si="9"/>
        <v>62.710879041916165</v>
      </c>
      <c r="D139" s="134"/>
      <c r="E139" s="258">
        <v>1804.4207999999999</v>
      </c>
      <c r="F139" s="258"/>
      <c r="G139" s="134">
        <v>62.710879041916165</v>
      </c>
      <c r="H139" s="256"/>
      <c r="I139" s="258">
        <v>285.40511999999995</v>
      </c>
      <c r="J139" s="258"/>
      <c r="K139" s="258">
        <v>25679.612903225803</v>
      </c>
      <c r="L139" s="258"/>
      <c r="M139" s="199" t="s">
        <v>30</v>
      </c>
      <c r="N139" s="199" t="s">
        <v>30</v>
      </c>
      <c r="O139" s="198" t="s">
        <v>3230</v>
      </c>
      <c r="P139" s="199" t="s">
        <v>30</v>
      </c>
      <c r="Q139" s="133" t="s">
        <v>30</v>
      </c>
      <c r="R139" s="325" t="s">
        <v>30</v>
      </c>
      <c r="T139" s="133">
        <v>2550</v>
      </c>
      <c r="U139" s="133">
        <v>1605</v>
      </c>
      <c r="AA139" s="178" t="s">
        <v>3410</v>
      </c>
      <c r="AB139" s="178" t="s">
        <v>3118</v>
      </c>
      <c r="AH139" s="133" t="s">
        <v>898</v>
      </c>
      <c r="AI139" s="198" t="s">
        <v>3239</v>
      </c>
    </row>
    <row r="140" spans="1:35">
      <c r="A140" s="487"/>
      <c r="B140" s="185" t="str">
        <f t="shared" si="12"/>
        <v>Moru hnedá vertikálne</v>
      </c>
      <c r="C140" s="170">
        <f t="shared" si="9"/>
        <v>107.67664670658684</v>
      </c>
      <c r="D140" s="134"/>
      <c r="E140" s="258">
        <v>3098.25</v>
      </c>
      <c r="F140" s="258"/>
      <c r="G140" s="134">
        <v>107.67664670658684</v>
      </c>
      <c r="H140" s="256"/>
      <c r="I140" s="258">
        <v>490.05</v>
      </c>
      <c r="J140" s="258"/>
      <c r="K140" s="258">
        <v>44092.741935483871</v>
      </c>
      <c r="L140" s="258"/>
      <c r="M140" s="199" t="s">
        <v>3619</v>
      </c>
      <c r="N140" s="199" t="s">
        <v>3647</v>
      </c>
      <c r="O140" s="198" t="s">
        <v>3231</v>
      </c>
      <c r="P140" s="199" t="s">
        <v>3666</v>
      </c>
      <c r="Q140" s="133" t="s">
        <v>3676</v>
      </c>
      <c r="R140" s="325" t="s">
        <v>3812</v>
      </c>
      <c r="T140" s="133">
        <v>2440</v>
      </c>
      <c r="U140" s="133">
        <v>2100</v>
      </c>
      <c r="AA140" s="178" t="s">
        <v>3411</v>
      </c>
      <c r="AB140" s="178" t="s">
        <v>3119</v>
      </c>
      <c r="AH140" s="133" t="s">
        <v>3678</v>
      </c>
      <c r="AI140" s="198" t="s">
        <v>3240</v>
      </c>
    </row>
    <row r="141" spans="1:35">
      <c r="A141" s="487"/>
      <c r="B141" s="185" t="str">
        <f t="shared" si="12"/>
        <v>Moru grafit vertikálne</v>
      </c>
      <c r="C141" s="170">
        <f t="shared" si="9"/>
        <v>107.67664670658684</v>
      </c>
      <c r="D141" s="134"/>
      <c r="E141" s="258">
        <v>3098.25</v>
      </c>
      <c r="F141" s="258"/>
      <c r="G141" s="134">
        <v>107.67664670658684</v>
      </c>
      <c r="H141" s="256"/>
      <c r="I141" s="258">
        <v>490.05</v>
      </c>
      <c r="J141" s="258"/>
      <c r="K141" s="258">
        <v>44092.741935483871</v>
      </c>
      <c r="L141" s="258"/>
      <c r="M141" s="199" t="s">
        <v>3620</v>
      </c>
      <c r="N141" s="199" t="s">
        <v>3648</v>
      </c>
      <c r="O141" s="198" t="s">
        <v>3232</v>
      </c>
      <c r="P141" s="199" t="s">
        <v>3601</v>
      </c>
      <c r="Q141" s="133" t="s">
        <v>3602</v>
      </c>
      <c r="R141" s="325" t="s">
        <v>3677</v>
      </c>
      <c r="T141" s="133">
        <v>2440</v>
      </c>
      <c r="U141" s="133">
        <v>2100</v>
      </c>
      <c r="AA141" s="178" t="s">
        <v>3412</v>
      </c>
      <c r="AB141" s="178" t="s">
        <v>3120</v>
      </c>
      <c r="AH141" s="198" t="s">
        <v>3593</v>
      </c>
      <c r="AI141" s="133" t="s">
        <v>3558</v>
      </c>
    </row>
    <row r="142" spans="1:35">
      <c r="A142" s="487"/>
      <c r="B142" s="182"/>
      <c r="C142" s="256"/>
      <c r="D142" s="134"/>
      <c r="E142" s="258"/>
      <c r="G142" s="134"/>
      <c r="I142" s="258"/>
      <c r="K142" s="258"/>
      <c r="M142" s="199" t="s">
        <v>33</v>
      </c>
      <c r="N142" s="199" t="s">
        <v>33</v>
      </c>
      <c r="O142" s="198" t="s">
        <v>33</v>
      </c>
      <c r="P142" s="199" t="s">
        <v>33</v>
      </c>
      <c r="Q142" s="133" t="s">
        <v>33</v>
      </c>
      <c r="R142" s="325" t="s">
        <v>33</v>
      </c>
      <c r="AA142" s="178" t="s">
        <v>3413</v>
      </c>
      <c r="AB142" s="178" t="s">
        <v>3121</v>
      </c>
      <c r="AH142" s="198" t="s">
        <v>3679</v>
      </c>
      <c r="AI142" s="133" t="s">
        <v>3558</v>
      </c>
    </row>
    <row r="143" spans="1:35">
      <c r="A143" s="487"/>
      <c r="B143" s="182"/>
      <c r="C143" s="256"/>
      <c r="D143" s="134"/>
      <c r="E143" s="258"/>
      <c r="G143" s="134"/>
      <c r="I143" s="258"/>
      <c r="K143" s="258"/>
      <c r="M143" s="199" t="s">
        <v>34</v>
      </c>
      <c r="N143" s="199" t="s">
        <v>34</v>
      </c>
      <c r="O143" s="198" t="s">
        <v>34</v>
      </c>
      <c r="P143" s="199" t="s">
        <v>34</v>
      </c>
      <c r="Q143" s="133" t="s">
        <v>34</v>
      </c>
      <c r="R143" s="325" t="s">
        <v>34</v>
      </c>
      <c r="AA143" s="178" t="s">
        <v>3414</v>
      </c>
      <c r="AB143" s="178" t="s">
        <v>3117</v>
      </c>
      <c r="AH143" s="198" t="s">
        <v>3558</v>
      </c>
      <c r="AI143" s="133" t="s">
        <v>3558</v>
      </c>
    </row>
    <row r="144" spans="1:35">
      <c r="A144" s="487"/>
      <c r="B144" s="185" t="str">
        <f t="shared" ref="B144:B145" si="13">IF($D$1=1,M144,
IF($D$1=2,N144,
IF($D$1=3,O144,
IF($D$1=4,P144,
IF($D$1=5,Q144,
IF($D$1=6,R144,0))))))</f>
        <v>Moru hnedá horizontálne</v>
      </c>
      <c r="C144" s="170">
        <f t="shared" ref="C144:C145" si="14">IF($D$1=1,E144,IF(OR($D$1=2,$D$1=5),G144,IF($D$1=3,I144,IF($D$1=4,K144,IF($D$1=6,G144*1.3,0)))))</f>
        <v>107.67664670658684</v>
      </c>
      <c r="D144" s="134"/>
      <c r="E144" s="258">
        <v>3098.25</v>
      </c>
      <c r="F144" s="258"/>
      <c r="G144" s="134">
        <v>107.67664670658684</v>
      </c>
      <c r="H144" s="256"/>
      <c r="I144" s="258">
        <v>490.05</v>
      </c>
      <c r="J144" s="258"/>
      <c r="K144" s="258">
        <v>44092.741935483871</v>
      </c>
      <c r="L144" s="258"/>
      <c r="M144" s="199" t="s">
        <v>3621</v>
      </c>
      <c r="N144" s="199" t="s">
        <v>3595</v>
      </c>
      <c r="O144" s="198" t="s">
        <v>3233</v>
      </c>
      <c r="P144" s="199" t="s">
        <v>3667</v>
      </c>
      <c r="Q144" s="133" t="s">
        <v>3603</v>
      </c>
      <c r="R144" s="325" t="s">
        <v>3813</v>
      </c>
      <c r="T144" s="133">
        <v>2440</v>
      </c>
      <c r="U144" s="133">
        <v>2100</v>
      </c>
      <c r="AA144" s="178" t="s">
        <v>4534</v>
      </c>
      <c r="AB144" s="178" t="s">
        <v>4517</v>
      </c>
      <c r="AH144" s="198" t="s">
        <v>3680</v>
      </c>
      <c r="AI144" s="133" t="s">
        <v>3558</v>
      </c>
    </row>
    <row r="145" spans="1:35">
      <c r="A145" s="487"/>
      <c r="B145" s="185" t="str">
        <f t="shared" si="13"/>
        <v>Moru grafit horizontálne</v>
      </c>
      <c r="C145" s="170">
        <f t="shared" si="14"/>
        <v>107.67664670658684</v>
      </c>
      <c r="D145" s="134"/>
      <c r="E145" s="258">
        <v>3098.25</v>
      </c>
      <c r="F145" s="258"/>
      <c r="G145" s="134">
        <v>107.67664670658684</v>
      </c>
      <c r="H145" s="256"/>
      <c r="I145" s="258">
        <v>490.05</v>
      </c>
      <c r="J145" s="258"/>
      <c r="K145" s="258">
        <v>44092.741935483871</v>
      </c>
      <c r="L145" s="258"/>
      <c r="M145" s="199" t="s">
        <v>3622</v>
      </c>
      <c r="N145" s="199" t="s">
        <v>3596</v>
      </c>
      <c r="O145" s="198" t="s">
        <v>3234</v>
      </c>
      <c r="P145" s="199" t="s">
        <v>3668</v>
      </c>
      <c r="Q145" s="133" t="s">
        <v>3604</v>
      </c>
      <c r="R145" s="325" t="s">
        <v>3604</v>
      </c>
      <c r="T145" s="133">
        <v>2440</v>
      </c>
      <c r="U145" s="133">
        <v>2100</v>
      </c>
      <c r="AA145" s="178" t="s">
        <v>3415</v>
      </c>
      <c r="AB145" s="178" t="s">
        <v>3122</v>
      </c>
      <c r="AH145" s="133" t="s">
        <v>3681</v>
      </c>
      <c r="AI145" s="133" t="s">
        <v>3558</v>
      </c>
    </row>
    <row r="146" spans="1:35">
      <c r="A146" s="487"/>
      <c r="B146" s="182"/>
      <c r="C146" s="256"/>
      <c r="D146" s="134"/>
      <c r="E146" s="258" t="e">
        <v>#N/A</v>
      </c>
      <c r="G146" s="134" t="e">
        <v>#N/A</v>
      </c>
      <c r="I146" s="258" t="e">
        <v>#N/A</v>
      </c>
      <c r="K146" s="258" t="e">
        <v>#N/A</v>
      </c>
      <c r="M146" s="199" t="s">
        <v>31</v>
      </c>
      <c r="N146" s="199" t="s">
        <v>31</v>
      </c>
      <c r="O146" s="198" t="s">
        <v>31</v>
      </c>
      <c r="P146" s="199" t="s">
        <v>31</v>
      </c>
      <c r="Q146" s="133" t="s">
        <v>31</v>
      </c>
      <c r="R146" s="325" t="s">
        <v>31</v>
      </c>
      <c r="AA146" s="178" t="s">
        <v>3416</v>
      </c>
      <c r="AB146" s="178" t="s">
        <v>3123</v>
      </c>
      <c r="AH146" s="198" t="s">
        <v>3682</v>
      </c>
      <c r="AI146" s="133" t="s">
        <v>3559</v>
      </c>
    </row>
    <row r="147" spans="1:35">
      <c r="A147" s="487"/>
      <c r="B147" s="182"/>
      <c r="C147" s="256"/>
      <c r="D147" s="134"/>
      <c r="E147" s="258" t="e">
        <v>#N/A</v>
      </c>
      <c r="G147" s="134" t="e">
        <v>#N/A</v>
      </c>
      <c r="I147" s="258" t="e">
        <v>#N/A</v>
      </c>
      <c r="K147" s="258" t="e">
        <v>#N/A</v>
      </c>
      <c r="M147" s="199" t="s">
        <v>3685</v>
      </c>
      <c r="N147" s="199"/>
      <c r="O147" s="198"/>
      <c r="P147" s="199"/>
      <c r="R147" s="325"/>
      <c r="T147" s="133">
        <v>2550</v>
      </c>
      <c r="U147" s="133">
        <v>1605</v>
      </c>
      <c r="AA147" s="178" t="s">
        <v>3417</v>
      </c>
      <c r="AB147" s="178" t="s">
        <v>3124</v>
      </c>
      <c r="AH147" s="198" t="s">
        <v>3559</v>
      </c>
      <c r="AI147" s="133" t="s">
        <v>3559</v>
      </c>
    </row>
    <row r="148" spans="1:35">
      <c r="A148" s="487"/>
      <c r="B148" s="182"/>
      <c r="C148" s="256"/>
      <c r="D148" s="134"/>
      <c r="E148" s="258" t="e">
        <v>#N/A</v>
      </c>
      <c r="G148" s="134" t="e">
        <v>#N/A</v>
      </c>
      <c r="I148" s="258" t="e">
        <v>#N/A</v>
      </c>
      <c r="K148" s="258" t="e">
        <v>#N/A</v>
      </c>
      <c r="M148" s="199" t="s">
        <v>39</v>
      </c>
      <c r="N148" s="199" t="s">
        <v>39</v>
      </c>
      <c r="O148" s="198" t="s">
        <v>39</v>
      </c>
      <c r="P148" s="199" t="s">
        <v>39</v>
      </c>
      <c r="Q148" s="133" t="s">
        <v>39</v>
      </c>
      <c r="R148" s="325" t="s">
        <v>39</v>
      </c>
      <c r="AA148" s="209" t="s">
        <v>3418</v>
      </c>
      <c r="AB148" s="209" t="s">
        <v>3125</v>
      </c>
      <c r="AH148" s="198" t="s">
        <v>3683</v>
      </c>
      <c r="AI148" s="133" t="s">
        <v>3559</v>
      </c>
    </row>
    <row r="149" spans="1:35">
      <c r="A149" s="487"/>
      <c r="B149" s="182"/>
      <c r="C149" s="256"/>
      <c r="D149" s="134"/>
      <c r="E149" s="258" t="e">
        <v>#N/A</v>
      </c>
      <c r="G149" s="134" t="e">
        <v>#N/A</v>
      </c>
      <c r="I149" s="258" t="e">
        <v>#N/A</v>
      </c>
      <c r="K149" s="258" t="e">
        <v>#N/A</v>
      </c>
      <c r="M149" s="199"/>
      <c r="N149" s="199"/>
      <c r="O149" s="198"/>
      <c r="P149" s="199"/>
      <c r="R149" s="325"/>
      <c r="T149" s="133">
        <v>2550</v>
      </c>
      <c r="U149" s="133">
        <v>1605</v>
      </c>
      <c r="AA149" s="178" t="s">
        <v>4536</v>
      </c>
      <c r="AB149" s="178" t="s">
        <v>4523</v>
      </c>
      <c r="AH149" s="133" t="s">
        <v>3684</v>
      </c>
      <c r="AI149" s="133" t="s">
        <v>3559</v>
      </c>
    </row>
    <row r="150" spans="1:35">
      <c r="A150" s="487"/>
      <c r="B150" s="182"/>
      <c r="C150" s="256"/>
      <c r="D150" s="134"/>
      <c r="E150" s="258" t="e">
        <v>#N/A</v>
      </c>
      <c r="G150" s="134" t="e">
        <v>#N/A</v>
      </c>
      <c r="I150" s="258" t="e">
        <v>#N/A</v>
      </c>
      <c r="K150" s="258" t="e">
        <v>#N/A</v>
      </c>
      <c r="M150" s="199"/>
      <c r="N150" s="199"/>
      <c r="O150" s="198"/>
      <c r="P150" s="199"/>
      <c r="R150" s="325"/>
      <c r="T150" s="133">
        <v>2550</v>
      </c>
      <c r="U150" s="133">
        <v>1605</v>
      </c>
      <c r="AA150" s="178" t="s">
        <v>3419</v>
      </c>
      <c r="AB150" s="178" t="s">
        <v>3126</v>
      </c>
      <c r="AH150" s="185" t="s">
        <v>3019</v>
      </c>
      <c r="AI150" s="212" t="s">
        <v>3022</v>
      </c>
    </row>
    <row r="151" spans="1:35">
      <c r="A151" s="487"/>
      <c r="B151" s="182"/>
      <c r="C151" s="256"/>
      <c r="D151" s="134"/>
      <c r="E151" s="258" t="e">
        <v>#N/A</v>
      </c>
      <c r="G151" s="134" t="e">
        <v>#N/A</v>
      </c>
      <c r="I151" s="258" t="e">
        <v>#N/A</v>
      </c>
      <c r="K151" s="258" t="e">
        <v>#N/A</v>
      </c>
      <c r="M151" s="199"/>
      <c r="N151" s="199"/>
      <c r="O151" s="198"/>
      <c r="P151" s="199"/>
      <c r="R151" s="325"/>
      <c r="T151" s="133">
        <v>2550</v>
      </c>
      <c r="U151" s="133">
        <v>1605</v>
      </c>
      <c r="AA151" s="178" t="s">
        <v>3420</v>
      </c>
      <c r="AB151" s="178" t="s">
        <v>3172</v>
      </c>
      <c r="AH151" s="185" t="s">
        <v>2571</v>
      </c>
      <c r="AI151" s="212" t="s">
        <v>2570</v>
      </c>
    </row>
    <row r="152" spans="1:35">
      <c r="A152" s="487"/>
      <c r="B152" s="182"/>
      <c r="C152" s="256"/>
      <c r="D152" s="134"/>
      <c r="E152" s="258" t="e">
        <v>#N/A</v>
      </c>
      <c r="G152" s="134" t="e">
        <v>#N/A</v>
      </c>
      <c r="I152" s="258" t="e">
        <v>#N/A</v>
      </c>
      <c r="K152" s="258" t="e">
        <v>#N/A</v>
      </c>
      <c r="M152" s="199"/>
      <c r="N152" s="199"/>
      <c r="O152" s="198"/>
      <c r="P152" s="199"/>
      <c r="R152" s="325"/>
      <c r="T152" s="133">
        <v>2550</v>
      </c>
      <c r="U152" s="133">
        <v>1605</v>
      </c>
      <c r="AA152" s="209" t="s">
        <v>3421</v>
      </c>
      <c r="AB152" s="209" t="s">
        <v>3170</v>
      </c>
      <c r="AH152" s="185" t="s">
        <v>3024</v>
      </c>
      <c r="AI152" s="212" t="s">
        <v>3028</v>
      </c>
    </row>
    <row r="153" spans="1:35">
      <c r="A153" s="487"/>
      <c r="B153" s="182"/>
      <c r="C153" s="256"/>
      <c r="D153" s="134"/>
      <c r="E153" s="258" t="e">
        <v>#N/A</v>
      </c>
      <c r="G153" s="134" t="e">
        <v>#N/A</v>
      </c>
      <c r="I153" s="258" t="e">
        <v>#N/A</v>
      </c>
      <c r="K153" s="258" t="e">
        <v>#N/A</v>
      </c>
      <c r="M153" s="199"/>
      <c r="N153" s="199"/>
      <c r="O153" s="198"/>
      <c r="P153" s="199"/>
      <c r="R153" s="325"/>
      <c r="T153" s="133">
        <v>2550</v>
      </c>
      <c r="U153" s="133">
        <v>1605</v>
      </c>
      <c r="AA153" s="209" t="s">
        <v>3459</v>
      </c>
      <c r="AB153" s="209" t="s">
        <v>3127</v>
      </c>
      <c r="AH153" s="185" t="s">
        <v>3025</v>
      </c>
      <c r="AI153" s="212" t="s">
        <v>3029</v>
      </c>
    </row>
    <row r="154" spans="1:35">
      <c r="A154" s="487"/>
      <c r="B154" s="185" t="str">
        <f t="shared" ref="B154:B155" si="15">IF($D$1=1,M154,
IF($D$1=2,N154,
IF($D$1=3,O154,
IF($D$1=4,P154,
IF($D$1=5,Q154,
IF($D$1=6,R154,0))))))</f>
        <v>Matelac RAL 9003</v>
      </c>
      <c r="C154" s="170">
        <f t="shared" ref="C154:C155" si="16">IF($D$1=1,E154,IF(OR($D$1=2,$D$1=5),G154,IF($D$1=3,I154,IF($D$1=4,K154,IF($D$1=6,G154*1.3,0)))))</f>
        <v>130.64766467065868</v>
      </c>
      <c r="D154" s="134"/>
      <c r="E154" s="258">
        <v>3759.21</v>
      </c>
      <c r="F154" s="258"/>
      <c r="G154" s="134">
        <v>130.64766467065868</v>
      </c>
      <c r="H154" s="256"/>
      <c r="I154" s="258">
        <v>594.59400000000005</v>
      </c>
      <c r="J154" s="258"/>
      <c r="K154" s="258">
        <v>53499.193548387106</v>
      </c>
      <c r="L154" s="258"/>
      <c r="M154" s="199" t="s">
        <v>40</v>
      </c>
      <c r="N154" s="199" t="s">
        <v>40</v>
      </c>
      <c r="O154" s="198" t="s">
        <v>3235</v>
      </c>
      <c r="P154" s="199" t="s">
        <v>3235</v>
      </c>
      <c r="Q154" s="133" t="s">
        <v>3235</v>
      </c>
      <c r="R154" s="325" t="s">
        <v>40</v>
      </c>
      <c r="T154" s="133">
        <v>2550</v>
      </c>
      <c r="U154" s="133">
        <v>1605</v>
      </c>
      <c r="AA154" s="178" t="s">
        <v>3422</v>
      </c>
      <c r="AB154" s="178" t="s">
        <v>3128</v>
      </c>
      <c r="AH154" s="213" t="s">
        <v>3021</v>
      </c>
      <c r="AI154" s="212" t="s">
        <v>3022</v>
      </c>
    </row>
    <row r="155" spans="1:35">
      <c r="A155" s="487"/>
      <c r="B155" s="185" t="str">
        <f t="shared" si="15"/>
        <v>Matelac RAL 9005</v>
      </c>
      <c r="C155" s="170">
        <f t="shared" si="16"/>
        <v>104.51813173652697</v>
      </c>
      <c r="D155" s="134"/>
      <c r="E155" s="258">
        <v>3007.3679999999999</v>
      </c>
      <c r="F155" s="258"/>
      <c r="G155" s="134">
        <v>104.51813173652697</v>
      </c>
      <c r="H155" s="256"/>
      <c r="I155" s="258">
        <v>475.67520000000002</v>
      </c>
      <c r="J155" s="258"/>
      <c r="K155" s="258">
        <v>42799.354838709682</v>
      </c>
      <c r="L155" s="258"/>
      <c r="M155" s="199" t="s">
        <v>41</v>
      </c>
      <c r="N155" s="199" t="s">
        <v>41</v>
      </c>
      <c r="O155" s="198" t="s">
        <v>3236</v>
      </c>
      <c r="P155" s="199" t="s">
        <v>3236</v>
      </c>
      <c r="Q155" s="133" t="s">
        <v>3236</v>
      </c>
      <c r="R155" s="325" t="s">
        <v>41</v>
      </c>
      <c r="T155" s="133">
        <v>2550</v>
      </c>
      <c r="U155" s="133">
        <v>1605</v>
      </c>
      <c r="AA155" s="178" t="s">
        <v>3423</v>
      </c>
      <c r="AB155" s="178" t="s">
        <v>3129</v>
      </c>
      <c r="AH155" s="213" t="s">
        <v>3020</v>
      </c>
      <c r="AI155" s="212" t="s">
        <v>2570</v>
      </c>
    </row>
    <row r="156" spans="1:35">
      <c r="A156" s="487"/>
      <c r="B156" s="182"/>
      <c r="C156" s="256"/>
      <c r="D156" s="134"/>
      <c r="E156" s="258" t="e">
        <v>#N/A</v>
      </c>
      <c r="G156" s="134" t="e">
        <v>#N/A</v>
      </c>
      <c r="I156" s="258" t="e">
        <v>#N/A</v>
      </c>
      <c r="K156" s="258" t="e">
        <v>#N/A</v>
      </c>
      <c r="M156" s="199"/>
      <c r="N156" s="199"/>
      <c r="O156" s="198"/>
      <c r="P156" s="199"/>
      <c r="R156" s="325"/>
      <c r="T156" s="133">
        <v>2550</v>
      </c>
      <c r="U156" s="133">
        <v>1605</v>
      </c>
      <c r="AA156" s="209" t="s">
        <v>3424</v>
      </c>
      <c r="AB156" s="209" t="s">
        <v>2568</v>
      </c>
      <c r="AH156" s="213" t="s">
        <v>3027</v>
      </c>
      <c r="AI156" s="212" t="s">
        <v>3028</v>
      </c>
    </row>
    <row r="157" spans="1:35">
      <c r="A157" s="487"/>
      <c r="B157" s="182"/>
      <c r="C157" s="256"/>
      <c r="D157" s="134"/>
      <c r="E157" s="258" t="e">
        <v>#N/A</v>
      </c>
      <c r="G157" s="134" t="e">
        <v>#N/A</v>
      </c>
      <c r="I157" s="258" t="e">
        <v>#N/A</v>
      </c>
      <c r="K157" s="258" t="e">
        <v>#N/A</v>
      </c>
      <c r="M157" s="199"/>
      <c r="N157" s="199"/>
      <c r="O157" s="198"/>
      <c r="P157" s="199"/>
      <c r="R157" s="325"/>
      <c r="T157" s="133">
        <v>2550</v>
      </c>
      <c r="U157" s="133">
        <v>1605</v>
      </c>
      <c r="AA157" s="209" t="s">
        <v>3425</v>
      </c>
      <c r="AB157" s="209" t="s">
        <v>3171</v>
      </c>
      <c r="AH157" s="213" t="s">
        <v>3026</v>
      </c>
      <c r="AI157" s="212" t="s">
        <v>3029</v>
      </c>
    </row>
    <row r="158" spans="1:35">
      <c r="A158" s="487"/>
      <c r="B158" s="182"/>
      <c r="C158" s="256"/>
      <c r="D158" s="134"/>
      <c r="E158" s="258" t="e">
        <v>#N/A</v>
      </c>
      <c r="G158" s="134" t="e">
        <v>#N/A</v>
      </c>
      <c r="I158" s="258" t="e">
        <v>#N/A</v>
      </c>
      <c r="K158" s="258" t="e">
        <v>#N/A</v>
      </c>
      <c r="M158" s="199"/>
      <c r="N158" s="199"/>
      <c r="O158" s="198"/>
      <c r="P158" s="199"/>
      <c r="R158" s="325"/>
      <c r="T158" s="133">
        <v>2550</v>
      </c>
      <c r="U158" s="133">
        <v>1605</v>
      </c>
      <c r="AA158" s="209" t="s">
        <v>3426</v>
      </c>
      <c r="AB158" s="209" t="s">
        <v>3130</v>
      </c>
      <c r="AH158" s="34" t="s">
        <v>3023</v>
      </c>
      <c r="AI158" s="212" t="s">
        <v>3022</v>
      </c>
    </row>
    <row r="159" spans="1:35">
      <c r="A159" s="487"/>
      <c r="B159" s="182"/>
      <c r="C159" s="256"/>
      <c r="D159" s="134"/>
      <c r="E159" s="258" t="e">
        <v>#N/A</v>
      </c>
      <c r="G159" s="134" t="e">
        <v>#N/A</v>
      </c>
      <c r="I159" s="258" t="e">
        <v>#N/A</v>
      </c>
      <c r="K159" s="258" t="e">
        <v>#N/A</v>
      </c>
      <c r="M159" s="199"/>
      <c r="N159" s="199"/>
      <c r="O159" s="198"/>
      <c r="P159" s="199"/>
      <c r="R159" s="325"/>
      <c r="T159" s="133">
        <v>2550</v>
      </c>
      <c r="U159" s="133">
        <v>1605</v>
      </c>
      <c r="AA159" s="209" t="s">
        <v>3427</v>
      </c>
      <c r="AB159" s="209" t="s">
        <v>3131</v>
      </c>
      <c r="AH159" s="34" t="s">
        <v>3031</v>
      </c>
      <c r="AI159" s="212" t="s">
        <v>2570</v>
      </c>
    </row>
    <row r="160" spans="1:35">
      <c r="A160" s="487"/>
      <c r="B160" s="185" t="str">
        <f t="shared" ref="B160:B167" si="17">IF($D$1=1,M160,
IF($D$1=2,N160,
IF($D$1=3,O160,
IF($D$1=4,P160,
IF($D$1=5,Q160,
IF($D$1=6,R160,0))))))</f>
        <v>Matelac zrkadlo bronz</v>
      </c>
      <c r="C160" s="170">
        <f t="shared" ref="C160:C167" si="18">IF($D$1=1,E160,IF(OR($D$1=2,$D$1=5),G160,IF($D$1=3,I160,IF($D$1=4,K160,IF($D$1=6,G160*1.3,0)))))</f>
        <v>109.74403832335331</v>
      </c>
      <c r="D160" s="134"/>
      <c r="E160" s="258">
        <v>3157.7363999999998</v>
      </c>
      <c r="F160" s="258"/>
      <c r="G160" s="134">
        <v>109.74403832335331</v>
      </c>
      <c r="H160" s="256"/>
      <c r="I160" s="258">
        <v>499.45895999999993</v>
      </c>
      <c r="J160" s="258"/>
      <c r="K160" s="258">
        <v>44939.322580645159</v>
      </c>
      <c r="L160" s="258"/>
      <c r="M160" s="199" t="s">
        <v>46</v>
      </c>
      <c r="N160" s="199" t="s">
        <v>269</v>
      </c>
      <c r="O160" s="198" t="s">
        <v>267</v>
      </c>
      <c r="P160" s="199" t="s">
        <v>329</v>
      </c>
      <c r="Q160" s="133" t="s">
        <v>897</v>
      </c>
      <c r="R160" s="325" t="s">
        <v>3814</v>
      </c>
      <c r="T160" s="133">
        <v>2550</v>
      </c>
      <c r="U160" s="133">
        <v>1605</v>
      </c>
      <c r="AA160" s="209" t="s">
        <v>3384</v>
      </c>
      <c r="AB160" s="209" t="s">
        <v>3132</v>
      </c>
      <c r="AH160" s="34" t="s">
        <v>3032</v>
      </c>
      <c r="AI160" s="212" t="s">
        <v>3028</v>
      </c>
    </row>
    <row r="161" spans="1:35">
      <c r="A161" s="487"/>
      <c r="B161" s="185" t="str">
        <f t="shared" si="17"/>
        <v>Optiwhite</v>
      </c>
      <c r="C161" s="170">
        <f t="shared" si="18"/>
        <v>48.239137724550893</v>
      </c>
      <c r="D161" s="134"/>
      <c r="E161" s="258">
        <v>1388.0159999999998</v>
      </c>
      <c r="F161" s="258"/>
      <c r="G161" s="134">
        <v>48.239137724550893</v>
      </c>
      <c r="H161" s="256"/>
      <c r="I161" s="258">
        <v>219.54239999999999</v>
      </c>
      <c r="J161" s="258"/>
      <c r="K161" s="258">
        <v>19753.548387096773</v>
      </c>
      <c r="L161" s="258"/>
      <c r="M161" s="200" t="s">
        <v>3623</v>
      </c>
      <c r="N161" s="200" t="s">
        <v>3623</v>
      </c>
      <c r="O161" s="200" t="s">
        <v>3623</v>
      </c>
      <c r="P161" s="200" t="s">
        <v>3623</v>
      </c>
      <c r="Q161" s="200" t="s">
        <v>3623</v>
      </c>
      <c r="R161" s="325" t="s">
        <v>3623</v>
      </c>
      <c r="T161" s="133">
        <v>2550</v>
      </c>
      <c r="U161" s="133">
        <v>1605</v>
      </c>
      <c r="AA161" s="209" t="s">
        <v>3463</v>
      </c>
      <c r="AB161" s="209" t="s">
        <v>3133</v>
      </c>
      <c r="AH161" s="34" t="s">
        <v>3030</v>
      </c>
      <c r="AI161" s="212" t="s">
        <v>3029</v>
      </c>
    </row>
    <row r="162" spans="1:35">
      <c r="A162" s="487"/>
      <c r="B162" s="185" t="str">
        <f t="shared" si="17"/>
        <v>Matelac zrkadlo grafit</v>
      </c>
      <c r="C162" s="170">
        <f t="shared" si="18"/>
        <v>109.74403832335331</v>
      </c>
      <c r="D162" s="134"/>
      <c r="E162" s="258">
        <v>3157.7363999999998</v>
      </c>
      <c r="F162" s="258"/>
      <c r="G162" s="134">
        <v>109.74403832335331</v>
      </c>
      <c r="H162" s="256"/>
      <c r="I162" s="258">
        <v>499.45895999999993</v>
      </c>
      <c r="J162" s="258"/>
      <c r="K162" s="258">
        <v>44939.322580645159</v>
      </c>
      <c r="L162" s="258"/>
      <c r="M162" s="199" t="s">
        <v>48</v>
      </c>
      <c r="N162" s="199" t="s">
        <v>270</v>
      </c>
      <c r="O162" s="198" t="s">
        <v>268</v>
      </c>
      <c r="P162" s="199" t="s">
        <v>330</v>
      </c>
      <c r="Q162" s="133" t="s">
        <v>898</v>
      </c>
      <c r="R162" s="325" t="s">
        <v>3815</v>
      </c>
      <c r="T162" s="133">
        <v>2550</v>
      </c>
      <c r="U162" s="133">
        <v>1605</v>
      </c>
      <c r="AA162" s="209" t="s">
        <v>3467</v>
      </c>
      <c r="AB162" s="209" t="s">
        <v>3134</v>
      </c>
      <c r="AH162" s="212" t="s">
        <v>3036</v>
      </c>
      <c r="AI162" s="212" t="s">
        <v>3022</v>
      </c>
    </row>
    <row r="163" spans="1:35">
      <c r="A163" s="487"/>
      <c r="B163" s="185" t="str">
        <f t="shared" si="17"/>
        <v>Matelac zrkadlo strieb.</v>
      </c>
      <c r="C163" s="170">
        <f t="shared" si="18"/>
        <v>130.64766467065868</v>
      </c>
      <c r="D163" s="134"/>
      <c r="E163" s="258">
        <v>3759.21</v>
      </c>
      <c r="F163" s="258"/>
      <c r="G163" s="134">
        <v>130.64766467065868</v>
      </c>
      <c r="H163" s="256"/>
      <c r="I163" s="258">
        <v>594.59400000000005</v>
      </c>
      <c r="J163" s="258"/>
      <c r="K163" s="258">
        <v>53499.193548387106</v>
      </c>
      <c r="L163" s="258"/>
      <c r="M163" s="199" t="s">
        <v>47</v>
      </c>
      <c r="N163" s="199" t="s">
        <v>870</v>
      </c>
      <c r="O163" s="198" t="s">
        <v>871</v>
      </c>
      <c r="P163" s="199" t="s">
        <v>872</v>
      </c>
      <c r="Q163" s="133" t="s">
        <v>3678</v>
      </c>
      <c r="R163" s="325" t="s">
        <v>3816</v>
      </c>
      <c r="T163" s="133">
        <v>2550</v>
      </c>
      <c r="U163" s="133">
        <v>1605</v>
      </c>
      <c r="AA163" s="185" t="s">
        <v>3385</v>
      </c>
      <c r="AB163" s="185" t="s">
        <v>3135</v>
      </c>
      <c r="AH163" s="212" t="s">
        <v>3033</v>
      </c>
      <c r="AI163" s="212" t="s">
        <v>2570</v>
      </c>
    </row>
    <row r="164" spans="1:35">
      <c r="A164" s="228"/>
      <c r="B164" s="185" t="str">
        <f t="shared" si="17"/>
        <v>sieťka alu zlatá - rozmer oka 10x6x1 mm</v>
      </c>
      <c r="C164" s="170">
        <f t="shared" si="18"/>
        <v>433.20431654676258</v>
      </c>
      <c r="D164" s="134"/>
      <c r="E164" s="271">
        <v>12524.803200000002</v>
      </c>
      <c r="F164" s="271"/>
      <c r="G164" s="272">
        <v>433.20431654676258</v>
      </c>
      <c r="H164" s="272"/>
      <c r="I164" s="271">
        <v>1959.5520000000001</v>
      </c>
      <c r="J164" s="271"/>
      <c r="K164" s="271">
        <v>177867.02769230737</v>
      </c>
      <c r="L164" s="271"/>
      <c r="M164" s="185" t="s">
        <v>3019</v>
      </c>
      <c r="N164" s="213" t="s">
        <v>3021</v>
      </c>
      <c r="O164" s="212" t="s">
        <v>3022</v>
      </c>
      <c r="P164" s="34" t="s">
        <v>3023</v>
      </c>
      <c r="Q164" s="212" t="s">
        <v>3036</v>
      </c>
      <c r="R164" s="325" t="s">
        <v>3817</v>
      </c>
      <c r="T164" s="133">
        <v>1000</v>
      </c>
      <c r="U164" s="133">
        <v>500</v>
      </c>
      <c r="AA164" s="185" t="s">
        <v>3386</v>
      </c>
      <c r="AB164" s="185" t="s">
        <v>3136</v>
      </c>
      <c r="AH164" s="212" t="s">
        <v>3034</v>
      </c>
      <c r="AI164" s="212" t="s">
        <v>3028</v>
      </c>
    </row>
    <row r="165" spans="1:35">
      <c r="A165" s="228"/>
      <c r="B165" s="185" t="str">
        <f t="shared" si="17"/>
        <v>sieťka ocel čierna mat - rozmer oka 8x4x1 mm</v>
      </c>
      <c r="C165" s="170">
        <f t="shared" si="18"/>
        <v>174.05530575539584</v>
      </c>
      <c r="D165" s="134"/>
      <c r="E165" s="271">
        <v>5032.2870000000003</v>
      </c>
      <c r="F165" s="271"/>
      <c r="G165" s="272">
        <v>174.05530575539584</v>
      </c>
      <c r="H165" s="272"/>
      <c r="I165" s="271">
        <v>787.32</v>
      </c>
      <c r="J165" s="271"/>
      <c r="K165" s="271">
        <v>71464.430769230748</v>
      </c>
      <c r="L165" s="271"/>
      <c r="M165" s="185" t="s">
        <v>2571</v>
      </c>
      <c r="N165" s="213" t="s">
        <v>3020</v>
      </c>
      <c r="O165" s="212" t="s">
        <v>2570</v>
      </c>
      <c r="P165" s="34" t="s">
        <v>3031</v>
      </c>
      <c r="Q165" s="212" t="s">
        <v>3033</v>
      </c>
      <c r="R165" s="325" t="s">
        <v>3818</v>
      </c>
      <c r="T165" s="133">
        <v>1000</v>
      </c>
      <c r="U165" s="133">
        <v>500</v>
      </c>
      <c r="AA165" s="185" t="s">
        <v>3387</v>
      </c>
      <c r="AB165" s="185" t="s">
        <v>3137</v>
      </c>
      <c r="AH165" s="212" t="s">
        <v>3035</v>
      </c>
      <c r="AI165" s="212" t="s">
        <v>3029</v>
      </c>
    </row>
    <row r="166" spans="1:35">
      <c r="A166" s="228"/>
      <c r="B166" s="185" t="str">
        <f t="shared" si="17"/>
        <v>sieťka ocel biela - rozmer oka 8x4x1 mm</v>
      </c>
      <c r="C166" s="170">
        <f t="shared" si="18"/>
        <v>174.05530575539584</v>
      </c>
      <c r="D166" s="134"/>
      <c r="E166" s="271">
        <v>5032.2870000000003</v>
      </c>
      <c r="F166" s="271"/>
      <c r="G166" s="272">
        <v>174.05530575539584</v>
      </c>
      <c r="H166" s="272"/>
      <c r="I166" s="271">
        <v>787.32</v>
      </c>
      <c r="J166" s="271"/>
      <c r="K166" s="271">
        <v>71464.430769230748</v>
      </c>
      <c r="L166" s="271"/>
      <c r="M166" s="185" t="s">
        <v>3024</v>
      </c>
      <c r="N166" s="213" t="s">
        <v>3027</v>
      </c>
      <c r="O166" s="212" t="s">
        <v>3028</v>
      </c>
      <c r="P166" s="34" t="s">
        <v>3032</v>
      </c>
      <c r="Q166" s="212" t="s">
        <v>3034</v>
      </c>
      <c r="R166" s="325" t="s">
        <v>3819</v>
      </c>
      <c r="T166" s="133">
        <v>1000</v>
      </c>
      <c r="U166" s="133">
        <v>500</v>
      </c>
      <c r="AA166" s="185" t="s">
        <v>3388</v>
      </c>
      <c r="AB166" s="185" t="s">
        <v>2599</v>
      </c>
      <c r="AH166"/>
      <c r="AI166"/>
    </row>
    <row r="167" spans="1:35">
      <c r="B167" s="185" t="str">
        <f t="shared" si="17"/>
        <v>sieťka elox - rozmer oka 10x6x1 mm</v>
      </c>
      <c r="C167" s="170">
        <f t="shared" si="18"/>
        <v>433.20431654676258</v>
      </c>
      <c r="D167" s="134"/>
      <c r="E167" s="271">
        <v>12524.803200000002</v>
      </c>
      <c r="F167" s="271"/>
      <c r="G167" s="272">
        <v>433.20431654676258</v>
      </c>
      <c r="H167" s="272"/>
      <c r="I167" s="271">
        <v>1959.5520000000001</v>
      </c>
      <c r="J167" s="271"/>
      <c r="K167" s="271">
        <v>177867.02769230737</v>
      </c>
      <c r="L167" s="271"/>
      <c r="M167" s="185" t="s">
        <v>3025</v>
      </c>
      <c r="N167" s="213" t="s">
        <v>3026</v>
      </c>
      <c r="O167" s="212" t="s">
        <v>3029</v>
      </c>
      <c r="P167" s="34" t="s">
        <v>3030</v>
      </c>
      <c r="Q167" s="212" t="s">
        <v>3035</v>
      </c>
      <c r="R167" s="325" t="s">
        <v>3820</v>
      </c>
      <c r="T167" s="133">
        <v>1000</v>
      </c>
      <c r="U167" s="133">
        <v>500</v>
      </c>
      <c r="AA167" s="185" t="s">
        <v>3389</v>
      </c>
      <c r="AB167" s="185" t="s">
        <v>3138</v>
      </c>
      <c r="AH167"/>
      <c r="AI167"/>
    </row>
    <row r="168" spans="1:35">
      <c r="B168" s="182"/>
      <c r="G168" s="491"/>
      <c r="H168" s="491"/>
      <c r="I168" s="491"/>
      <c r="J168" s="491"/>
      <c r="K168" s="491"/>
      <c r="L168" s="491"/>
      <c r="AA168" s="185" t="s">
        <v>3390</v>
      </c>
      <c r="AB168" s="185" t="s">
        <v>3173</v>
      </c>
      <c r="AH168"/>
      <c r="AI168"/>
    </row>
    <row r="169" spans="1:35">
      <c r="B169" s="182" t="str">
        <f>IF($D$1=1,M169,IF($D$1=2,N169,IF($D$1=3,O169,IF($D$1=4,P169,IF($D$1=5,Q169,IF($D$1=6,R169,0))))))</f>
        <v>Rámček</v>
      </c>
      <c r="H169" s="133" t="s">
        <v>375</v>
      </c>
      <c r="M169" s="175" t="s">
        <v>899</v>
      </c>
      <c r="N169" s="133" t="s">
        <v>900</v>
      </c>
      <c r="O169" s="133" t="s">
        <v>930</v>
      </c>
      <c r="P169" s="133" t="s">
        <v>1113</v>
      </c>
      <c r="Q169" s="133" t="s">
        <v>929</v>
      </c>
      <c r="R169" s="325" t="s">
        <v>3821</v>
      </c>
      <c r="AA169" s="178" t="s">
        <v>3469</v>
      </c>
      <c r="AB169" s="178" t="s">
        <v>3098</v>
      </c>
      <c r="AH169"/>
      <c r="AI169"/>
    </row>
    <row r="170" spans="1:35">
      <c r="B170" s="182" t="str">
        <f t="shared" ref="B170:B233" si="19">IF($D$1=1,M170,IF($D$1=2,N170,IF($D$1=3,O170,IF($D$1=4,P170,IF($D$1=5,Q170,IF($D$1=6,R170,0))))))</f>
        <v xml:space="preserve">Štandardné vŕtanie otvoru pre misku závesu je 3 mm od hrany. </v>
      </c>
      <c r="G170" s="133" t="s">
        <v>375</v>
      </c>
      <c r="J170" s="133" t="s">
        <v>375</v>
      </c>
      <c r="M170" s="175" t="s">
        <v>434</v>
      </c>
      <c r="N170" s="133" t="s">
        <v>469</v>
      </c>
      <c r="O170" s="133" t="s">
        <v>875</v>
      </c>
      <c r="P170" s="133" t="s">
        <v>1237</v>
      </c>
      <c r="Q170" s="133" t="s">
        <v>1439</v>
      </c>
      <c r="R170" s="325" t="s">
        <v>3822</v>
      </c>
      <c r="AA170" s="178" t="s">
        <v>3470</v>
      </c>
      <c r="AB170" s="178" t="s">
        <v>3169</v>
      </c>
      <c r="AH170"/>
      <c r="AI170"/>
    </row>
    <row r="171" spans="1:35">
      <c r="B171" s="182" t="str">
        <f t="shared" si="19"/>
        <v>Uvedené ceny sú bez DPH a nezahrňujú cenu požadovaného kovania!</v>
      </c>
      <c r="M171" s="175" t="s">
        <v>413</v>
      </c>
      <c r="N171" s="133" t="s">
        <v>470</v>
      </c>
      <c r="O171" s="133" t="s">
        <v>876</v>
      </c>
      <c r="P171" s="133" t="s">
        <v>1238</v>
      </c>
      <c r="Q171" s="133" t="s">
        <v>1440</v>
      </c>
      <c r="R171" s="325" t="s">
        <v>3823</v>
      </c>
      <c r="AA171" s="178" t="s">
        <v>3471</v>
      </c>
      <c r="AB171" s="178" t="s">
        <v>3099</v>
      </c>
      <c r="AH171"/>
      <c r="AI171"/>
    </row>
    <row r="172" spans="1:35">
      <c r="B172" s="182" t="str">
        <f t="shared" si="19"/>
        <v>Typ profilu</v>
      </c>
      <c r="M172" s="175" t="s">
        <v>149</v>
      </c>
      <c r="N172" s="133" t="s">
        <v>149</v>
      </c>
      <c r="O172" s="133" t="s">
        <v>333</v>
      </c>
      <c r="P172" s="133" t="s">
        <v>345</v>
      </c>
      <c r="Q172" s="133" t="s">
        <v>1441</v>
      </c>
      <c r="R172" s="325" t="s">
        <v>3824</v>
      </c>
      <c r="AA172" s="178" t="s">
        <v>3472</v>
      </c>
      <c r="AB172" s="178" t="s">
        <v>3100</v>
      </c>
      <c r="AH172"/>
      <c r="AI172"/>
    </row>
    <row r="173" spans="1:35">
      <c r="B173" s="182" t="str">
        <f t="shared" si="19"/>
        <v>Typ upravy skla</v>
      </c>
      <c r="M173" s="175" t="s">
        <v>2081</v>
      </c>
      <c r="N173" s="133" t="s">
        <v>2082</v>
      </c>
      <c r="O173" s="133" t="s">
        <v>12</v>
      </c>
      <c r="P173" s="133" t="s">
        <v>275</v>
      </c>
      <c r="Q173" s="133" t="s">
        <v>1347</v>
      </c>
      <c r="R173" s="325" t="s">
        <v>3825</v>
      </c>
      <c r="AA173" s="178" t="s">
        <v>3473</v>
      </c>
      <c r="AB173" s="178" t="s">
        <v>3101</v>
      </c>
      <c r="AH173"/>
      <c r="AI173"/>
    </row>
    <row r="174" spans="1:35">
      <c r="B174" s="182" t="str">
        <f t="shared" si="19"/>
        <v>Počet kusov</v>
      </c>
      <c r="M174" s="175" t="s">
        <v>4</v>
      </c>
      <c r="N174" s="133" t="s">
        <v>153</v>
      </c>
      <c r="O174" s="133" t="s">
        <v>13</v>
      </c>
      <c r="P174" s="133" t="s">
        <v>1239</v>
      </c>
      <c r="Q174" s="133" t="s">
        <v>901</v>
      </c>
      <c r="R174" s="325" t="s">
        <v>3826</v>
      </c>
      <c r="AA174" s="179" t="s">
        <v>3474</v>
      </c>
      <c r="AB174" s="178" t="s">
        <v>3102</v>
      </c>
      <c r="AH174"/>
      <c r="AI174"/>
    </row>
    <row r="175" spans="1:35">
      <c r="B175" s="182" t="str">
        <f t="shared" si="19"/>
        <v>Šírka</v>
      </c>
      <c r="M175" s="175" t="s">
        <v>3</v>
      </c>
      <c r="N175" s="133" t="s">
        <v>154</v>
      </c>
      <c r="O175" s="133" t="s">
        <v>9</v>
      </c>
      <c r="P175" s="133" t="s">
        <v>276</v>
      </c>
      <c r="Q175" s="133" t="s">
        <v>902</v>
      </c>
      <c r="R175" s="325" t="s">
        <v>3827</v>
      </c>
      <c r="AA175" s="179" t="s">
        <v>3475</v>
      </c>
      <c r="AB175" s="178" t="s">
        <v>3103</v>
      </c>
      <c r="AH175"/>
      <c r="AI175"/>
    </row>
    <row r="176" spans="1:35">
      <c r="B176" s="182" t="str">
        <f t="shared" si="19"/>
        <v>Výška</v>
      </c>
      <c r="M176" s="175" t="s">
        <v>14</v>
      </c>
      <c r="N176" s="133" t="s">
        <v>14</v>
      </c>
      <c r="O176" s="133" t="s">
        <v>10</v>
      </c>
      <c r="P176" s="133" t="s">
        <v>277</v>
      </c>
      <c r="Q176" s="133" t="s">
        <v>903</v>
      </c>
      <c r="R176" s="325" t="s">
        <v>3828</v>
      </c>
      <c r="AA176" s="179" t="s">
        <v>3533</v>
      </c>
      <c r="AB176" s="179" t="s">
        <v>1603</v>
      </c>
      <c r="AH176"/>
      <c r="AI176"/>
    </row>
    <row r="177" spans="2:35">
      <c r="B177" s="182" t="str">
        <f t="shared" si="19"/>
        <v>Poznámky</v>
      </c>
      <c r="M177" s="175" t="s">
        <v>331</v>
      </c>
      <c r="N177" s="133" t="s">
        <v>331</v>
      </c>
      <c r="O177" s="133" t="s">
        <v>210</v>
      </c>
      <c r="P177" s="133" t="s">
        <v>332</v>
      </c>
      <c r="Q177" s="133" t="s">
        <v>1407</v>
      </c>
      <c r="R177" s="325" t="s">
        <v>3829</v>
      </c>
      <c r="AA177" s="179" t="s">
        <v>3476</v>
      </c>
      <c r="AB177" s="178" t="s">
        <v>3104</v>
      </c>
      <c r="AH177"/>
      <c r="AI177"/>
    </row>
    <row r="178" spans="2:35">
      <c r="B178" s="182" t="str">
        <f t="shared" si="19"/>
        <v>Cena rámčekov celkom</v>
      </c>
      <c r="J178" s="133" t="s">
        <v>375</v>
      </c>
      <c r="M178" s="175" t="s">
        <v>16</v>
      </c>
      <c r="N178" s="133" t="s">
        <v>155</v>
      </c>
      <c r="O178" s="133" t="s">
        <v>211</v>
      </c>
      <c r="P178" s="133" t="s">
        <v>278</v>
      </c>
      <c r="Q178" s="133" t="s">
        <v>904</v>
      </c>
      <c r="R178" s="325" t="s">
        <v>3830</v>
      </c>
      <c r="AA178" s="179" t="s">
        <v>4511</v>
      </c>
      <c r="AB178" s="178" t="s">
        <v>4507</v>
      </c>
      <c r="AH178"/>
      <c r="AI178"/>
    </row>
    <row r="179" spans="2:35">
      <c r="B179" s="182" t="str">
        <f t="shared" si="19"/>
        <v>Cena kovania celkom</v>
      </c>
      <c r="M179" s="133" t="s">
        <v>17</v>
      </c>
      <c r="N179" s="133" t="s">
        <v>156</v>
      </c>
      <c r="O179" s="133" t="s">
        <v>212</v>
      </c>
      <c r="P179" s="133" t="s">
        <v>279</v>
      </c>
      <c r="Q179" s="133" t="s">
        <v>1442</v>
      </c>
      <c r="R179" s="325" t="s">
        <v>3831</v>
      </c>
      <c r="AA179" s="179" t="s">
        <v>4503</v>
      </c>
      <c r="AB179" s="178" t="s">
        <v>4521</v>
      </c>
      <c r="AH179"/>
      <c r="AI179"/>
    </row>
    <row r="180" spans="2:35">
      <c r="B180" s="182" t="str">
        <f t="shared" si="19"/>
        <v>Cena za kompletnú objednávku</v>
      </c>
      <c r="M180" s="133" t="s">
        <v>49</v>
      </c>
      <c r="N180" s="133" t="s">
        <v>157</v>
      </c>
      <c r="O180" s="133" t="s">
        <v>213</v>
      </c>
      <c r="P180" s="133" t="s">
        <v>280</v>
      </c>
      <c r="Q180" s="133" t="s">
        <v>1443</v>
      </c>
      <c r="R180" s="325" t="s">
        <v>3832</v>
      </c>
      <c r="AA180" s="179" t="s">
        <v>3477</v>
      </c>
      <c r="AB180" s="178" t="s">
        <v>555</v>
      </c>
      <c r="AH180"/>
      <c r="AI180"/>
    </row>
    <row r="181" spans="2:35">
      <c r="B181" s="182" t="str">
        <f t="shared" si="19"/>
        <v>Závesy</v>
      </c>
      <c r="M181" s="175" t="s">
        <v>399</v>
      </c>
      <c r="N181" s="133" t="s">
        <v>400</v>
      </c>
      <c r="O181" s="133" t="s">
        <v>401</v>
      </c>
      <c r="P181" s="133" t="s">
        <v>402</v>
      </c>
      <c r="Q181" s="133" t="s">
        <v>1444</v>
      </c>
      <c r="R181" s="325" t="s">
        <v>3833</v>
      </c>
      <c r="AA181" s="179" t="s">
        <v>3478</v>
      </c>
      <c r="AB181" s="178" t="s">
        <v>3105</v>
      </c>
      <c r="AH181"/>
      <c r="AI181"/>
    </row>
    <row r="182" spans="2:35">
      <c r="B182" s="182" t="str">
        <f t="shared" si="19"/>
        <v>Aventos ostatné</v>
      </c>
      <c r="M182" s="175" t="s">
        <v>403</v>
      </c>
      <c r="N182" s="133" t="s">
        <v>404</v>
      </c>
      <c r="O182" s="133" t="s">
        <v>405</v>
      </c>
      <c r="P182" s="133" t="s">
        <v>1240</v>
      </c>
      <c r="Q182" s="133" t="s">
        <v>1445</v>
      </c>
      <c r="R182" s="325" t="s">
        <v>3834</v>
      </c>
      <c r="AA182" s="179" t="s">
        <v>3479</v>
      </c>
      <c r="AB182" s="178" t="s">
        <v>3106</v>
      </c>
      <c r="AH182"/>
      <c r="AI182"/>
    </row>
    <row r="183" spans="2:35">
      <c r="B183" s="182" t="str">
        <f t="shared" si="19"/>
        <v>STRONG s tlmením</v>
      </c>
      <c r="M183" s="175" t="s">
        <v>639</v>
      </c>
      <c r="N183" s="133" t="s">
        <v>845</v>
      </c>
      <c r="O183" s="133" t="s">
        <v>846</v>
      </c>
      <c r="P183" s="133" t="s">
        <v>847</v>
      </c>
      <c r="Q183" s="133" t="s">
        <v>1446</v>
      </c>
      <c r="R183" s="325" t="s">
        <v>3835</v>
      </c>
      <c r="AA183" s="179" t="s">
        <v>3480</v>
      </c>
      <c r="AB183" s="178" t="s">
        <v>3107</v>
      </c>
      <c r="AH183"/>
      <c r="AI183"/>
    </row>
    <row r="184" spans="2:35">
      <c r="B184" s="182" t="str">
        <f t="shared" si="19"/>
        <v>Závesy so sdvíhacím piestom</v>
      </c>
      <c r="M184" s="175" t="s">
        <v>406</v>
      </c>
      <c r="N184" s="133" t="s">
        <v>407</v>
      </c>
      <c r="O184" s="133" t="s">
        <v>1300</v>
      </c>
      <c r="P184" s="133" t="s">
        <v>1241</v>
      </c>
      <c r="Q184" s="133" t="s">
        <v>1447</v>
      </c>
      <c r="R184" s="325" t="s">
        <v>3836</v>
      </c>
      <c r="AA184" s="178" t="s">
        <v>3481</v>
      </c>
      <c r="AB184" s="178" t="s">
        <v>3108</v>
      </c>
      <c r="AH184"/>
      <c r="AI184"/>
    </row>
    <row r="185" spans="2:35">
      <c r="B185" s="182" t="str">
        <f t="shared" si="19"/>
        <v>Horné dvierko</v>
      </c>
      <c r="M185" s="175" t="s">
        <v>3015</v>
      </c>
      <c r="N185" s="133" t="s">
        <v>158</v>
      </c>
      <c r="O185" s="133" t="s">
        <v>214</v>
      </c>
      <c r="P185" s="133" t="s">
        <v>408</v>
      </c>
      <c r="Q185" s="133" t="s">
        <v>1348</v>
      </c>
      <c r="R185" s="325" t="s">
        <v>3837</v>
      </c>
      <c r="AA185" s="179" t="s">
        <v>3482</v>
      </c>
      <c r="AB185" s="178" t="s">
        <v>3109</v>
      </c>
      <c r="AH185"/>
      <c r="AI185"/>
    </row>
    <row r="186" spans="2:35">
      <c r="B186" s="182" t="str">
        <f t="shared" si="19"/>
        <v>Spodné dvierko</v>
      </c>
      <c r="M186" s="175" t="s">
        <v>3016</v>
      </c>
      <c r="N186" s="133" t="s">
        <v>159</v>
      </c>
      <c r="O186" s="133" t="s">
        <v>215</v>
      </c>
      <c r="P186" s="133" t="s">
        <v>281</v>
      </c>
      <c r="Q186" s="133" t="s">
        <v>1349</v>
      </c>
      <c r="R186" s="325" t="s">
        <v>3838</v>
      </c>
      <c r="AA186" s="179" t="s">
        <v>3483</v>
      </c>
      <c r="AB186" s="178" t="s">
        <v>3110</v>
      </c>
      <c r="AH186"/>
      <c r="AI186"/>
    </row>
    <row r="187" spans="2:35">
      <c r="B187" s="182" t="str">
        <f t="shared" si="19"/>
        <v>Naložený clip</v>
      </c>
      <c r="M187" s="154" t="s">
        <v>64</v>
      </c>
      <c r="N187" s="133" t="s">
        <v>64</v>
      </c>
      <c r="O187" s="133" t="s">
        <v>216</v>
      </c>
      <c r="P187" s="133" t="s">
        <v>282</v>
      </c>
      <c r="Q187" s="133" t="s">
        <v>1448</v>
      </c>
      <c r="R187" s="325" t="s">
        <v>3839</v>
      </c>
      <c r="AA187" s="179" t="s">
        <v>3484</v>
      </c>
      <c r="AB187" s="179" t="s">
        <v>3111</v>
      </c>
      <c r="AH187"/>
      <c r="AI187"/>
    </row>
    <row r="188" spans="2:35">
      <c r="B188" s="182" t="str">
        <f t="shared" si="19"/>
        <v>Polonaložený clip</v>
      </c>
      <c r="M188" s="154" t="s">
        <v>65</v>
      </c>
      <c r="N188" s="133" t="s">
        <v>65</v>
      </c>
      <c r="O188" s="133" t="s">
        <v>217</v>
      </c>
      <c r="P188" s="133" t="s">
        <v>1242</v>
      </c>
      <c r="Q188" s="133" t="s">
        <v>1449</v>
      </c>
      <c r="R188" s="325" t="s">
        <v>3840</v>
      </c>
      <c r="AA188" s="178" t="s">
        <v>3485</v>
      </c>
      <c r="AB188" s="178" t="s">
        <v>3112</v>
      </c>
      <c r="AH188"/>
      <c r="AI188"/>
    </row>
    <row r="189" spans="2:35">
      <c r="B189" s="182" t="str">
        <f t="shared" si="19"/>
        <v>Vložený clip</v>
      </c>
      <c r="M189" s="154" t="s">
        <v>66</v>
      </c>
      <c r="N189" s="133" t="s">
        <v>66</v>
      </c>
      <c r="O189" s="133" t="s">
        <v>218</v>
      </c>
      <c r="P189" s="133" t="s">
        <v>1243</v>
      </c>
      <c r="Q189" s="133" t="s">
        <v>1450</v>
      </c>
      <c r="R189" s="325" t="s">
        <v>3841</v>
      </c>
      <c r="AA189" s="178" t="s">
        <v>4543</v>
      </c>
      <c r="AB189" s="178" t="s">
        <v>4522</v>
      </c>
      <c r="AH189"/>
      <c r="AI189"/>
    </row>
    <row r="190" spans="2:35">
      <c r="B190" s="182" t="str">
        <f t="shared" si="19"/>
        <v>Uhol 45°</v>
      </c>
      <c r="M190" s="154" t="s">
        <v>67</v>
      </c>
      <c r="N190" s="133" t="s">
        <v>160</v>
      </c>
      <c r="O190" s="133" t="s">
        <v>219</v>
      </c>
      <c r="P190" s="133" t="s">
        <v>283</v>
      </c>
      <c r="Q190" s="133" t="s">
        <v>1350</v>
      </c>
      <c r="R190" s="325" t="s">
        <v>3842</v>
      </c>
      <c r="AA190" s="178" t="s">
        <v>3488</v>
      </c>
      <c r="AB190" s="178" t="s">
        <v>3113</v>
      </c>
      <c r="AH190"/>
      <c r="AI190"/>
    </row>
    <row r="191" spans="2:35">
      <c r="B191" s="182" t="str">
        <f t="shared" si="19"/>
        <v xml:space="preserve">Naložený </v>
      </c>
      <c r="M191" s="133" t="s">
        <v>68</v>
      </c>
      <c r="N191" s="133" t="s">
        <v>161</v>
      </c>
      <c r="O191" s="133" t="s">
        <v>220</v>
      </c>
      <c r="P191" s="133" t="s">
        <v>284</v>
      </c>
      <c r="Q191" s="133" t="s">
        <v>1595</v>
      </c>
      <c r="R191" s="325" t="s">
        <v>3843</v>
      </c>
      <c r="AA191" s="179" t="s">
        <v>3489</v>
      </c>
      <c r="AB191" s="178" t="s">
        <v>3114</v>
      </c>
      <c r="AH191"/>
      <c r="AI191"/>
    </row>
    <row r="192" spans="2:35">
      <c r="B192" s="182" t="str">
        <f t="shared" si="19"/>
        <v xml:space="preserve">Polonaložený </v>
      </c>
      <c r="M192" s="133" t="s">
        <v>69</v>
      </c>
      <c r="N192" s="133" t="s">
        <v>162</v>
      </c>
      <c r="O192" s="133" t="s">
        <v>221</v>
      </c>
      <c r="P192" s="133" t="s">
        <v>1244</v>
      </c>
      <c r="Q192" s="133" t="s">
        <v>1452</v>
      </c>
      <c r="R192" s="325" t="s">
        <v>3844</v>
      </c>
      <c r="AA192" s="179" t="s">
        <v>3490</v>
      </c>
      <c r="AB192" s="179" t="s">
        <v>3115</v>
      </c>
      <c r="AH192"/>
      <c r="AI192"/>
    </row>
    <row r="193" spans="2:35">
      <c r="B193" s="182" t="str">
        <f t="shared" si="19"/>
        <v xml:space="preserve">Vložený </v>
      </c>
      <c r="M193" s="133" t="s">
        <v>70</v>
      </c>
      <c r="N193" s="133" t="s">
        <v>163</v>
      </c>
      <c r="O193" s="133" t="s">
        <v>222</v>
      </c>
      <c r="P193" s="133" t="s">
        <v>1245</v>
      </c>
      <c r="Q193" s="133" t="s">
        <v>905</v>
      </c>
      <c r="R193" s="325" t="s">
        <v>3845</v>
      </c>
      <c r="AA193" s="179" t="s">
        <v>3493</v>
      </c>
      <c r="AB193" s="178" t="s">
        <v>3116</v>
      </c>
      <c r="AH193"/>
      <c r="AI193"/>
    </row>
    <row r="194" spans="2:35">
      <c r="B194" s="182" t="str">
        <f t="shared" si="19"/>
        <v>Uhol 45°</v>
      </c>
      <c r="M194" s="133" t="s">
        <v>67</v>
      </c>
      <c r="N194" s="133" t="s">
        <v>160</v>
      </c>
      <c r="O194" s="133" t="s">
        <v>219</v>
      </c>
      <c r="P194" s="133" t="s">
        <v>283</v>
      </c>
      <c r="Q194" s="133" t="s">
        <v>1350</v>
      </c>
      <c r="R194" s="325" t="s">
        <v>3842</v>
      </c>
      <c r="AA194" s="179" t="s">
        <v>3494</v>
      </c>
      <c r="AB194" s="178" t="s">
        <v>3117</v>
      </c>
      <c r="AH194"/>
      <c r="AI194"/>
    </row>
    <row r="195" spans="2:35">
      <c r="B195" s="182" t="str">
        <f t="shared" si="19"/>
        <v>Naložený s opačnou pružinou</v>
      </c>
      <c r="M195" s="133" t="s">
        <v>71</v>
      </c>
      <c r="N195" s="133" t="s">
        <v>71</v>
      </c>
      <c r="O195" s="133" t="s">
        <v>223</v>
      </c>
      <c r="P195" s="133" t="s">
        <v>287</v>
      </c>
      <c r="Q195" s="133" t="s">
        <v>1453</v>
      </c>
      <c r="R195" s="325" t="s">
        <v>3846</v>
      </c>
      <c r="AA195" s="179" t="s">
        <v>3495</v>
      </c>
      <c r="AB195" s="178" t="s">
        <v>3118</v>
      </c>
      <c r="AH195"/>
      <c r="AI195"/>
    </row>
    <row r="196" spans="2:35">
      <c r="B196" s="182" t="str">
        <f t="shared" si="19"/>
        <v>Vložený s opačnou pružinou</v>
      </c>
      <c r="M196" s="133" t="s">
        <v>72</v>
      </c>
      <c r="N196" s="133" t="s">
        <v>72</v>
      </c>
      <c r="O196" s="133" t="s">
        <v>224</v>
      </c>
      <c r="P196" s="133" t="s">
        <v>1246</v>
      </c>
      <c r="Q196" s="133" t="s">
        <v>1454</v>
      </c>
      <c r="R196" s="325" t="s">
        <v>3847</v>
      </c>
      <c r="AA196" s="179" t="s">
        <v>3496</v>
      </c>
      <c r="AB196" s="178" t="s">
        <v>3119</v>
      </c>
      <c r="AH196"/>
      <c r="AI196"/>
    </row>
    <row r="197" spans="2:35">
      <c r="B197" s="182" t="str">
        <f t="shared" si="19"/>
        <v>Clip na skrutku H2</v>
      </c>
      <c r="M197" s="175" t="s">
        <v>87</v>
      </c>
      <c r="N197" s="133" t="s">
        <v>164</v>
      </c>
      <c r="O197" s="133" t="s">
        <v>225</v>
      </c>
      <c r="P197" s="133" t="s">
        <v>288</v>
      </c>
      <c r="Q197" s="133" t="s">
        <v>1455</v>
      </c>
      <c r="R197" s="325" t="s">
        <v>3848</v>
      </c>
      <c r="AA197" s="178" t="s">
        <v>3497</v>
      </c>
      <c r="AB197" s="178" t="s">
        <v>3120</v>
      </c>
      <c r="AH197"/>
      <c r="AI197"/>
    </row>
    <row r="198" spans="2:35">
      <c r="B198" s="182" t="str">
        <f t="shared" si="19"/>
        <v>Clip na skrutku H4</v>
      </c>
      <c r="M198" s="175" t="s">
        <v>88</v>
      </c>
      <c r="N198" s="133" t="s">
        <v>165</v>
      </c>
      <c r="O198" s="133" t="s">
        <v>226</v>
      </c>
      <c r="P198" s="133" t="s">
        <v>289</v>
      </c>
      <c r="Q198" s="133" t="s">
        <v>1456</v>
      </c>
      <c r="R198" s="325" t="s">
        <v>3849</v>
      </c>
      <c r="AA198" s="178" t="s">
        <v>3498</v>
      </c>
      <c r="AB198" s="178" t="s">
        <v>3121</v>
      </c>
      <c r="AH198"/>
      <c r="AI198"/>
    </row>
    <row r="199" spans="2:35">
      <c r="B199" s="182" t="str">
        <f t="shared" si="19"/>
        <v>Clip na euroskrutku H2</v>
      </c>
      <c r="M199" s="175" t="s">
        <v>89</v>
      </c>
      <c r="N199" s="133" t="s">
        <v>166</v>
      </c>
      <c r="O199" s="133" t="s">
        <v>227</v>
      </c>
      <c r="P199" s="133" t="s">
        <v>290</v>
      </c>
      <c r="Q199" s="133" t="s">
        <v>1457</v>
      </c>
      <c r="R199" s="325" t="s">
        <v>4215</v>
      </c>
      <c r="AA199" s="179" t="s">
        <v>3499</v>
      </c>
      <c r="AB199" s="178" t="s">
        <v>3117</v>
      </c>
      <c r="AH199"/>
      <c r="AI199"/>
    </row>
    <row r="200" spans="2:35">
      <c r="B200" s="182" t="str">
        <f t="shared" si="19"/>
        <v>Clip na euroskrutku H4</v>
      </c>
      <c r="M200" s="175" t="s">
        <v>90</v>
      </c>
      <c r="N200" s="133" t="s">
        <v>167</v>
      </c>
      <c r="O200" s="133" t="s">
        <v>228</v>
      </c>
      <c r="P200" s="133" t="s">
        <v>291</v>
      </c>
      <c r="Q200" s="133" t="s">
        <v>1458</v>
      </c>
      <c r="R200" s="325" t="s">
        <v>3850</v>
      </c>
      <c r="AA200" s="179" t="s">
        <v>4535</v>
      </c>
      <c r="AB200" s="178" t="s">
        <v>4518</v>
      </c>
      <c r="AH200"/>
      <c r="AI200"/>
    </row>
    <row r="201" spans="2:35">
      <c r="B201" s="182" t="str">
        <f t="shared" si="19"/>
        <v>Slide on na skrutku H2</v>
      </c>
      <c r="M201" s="175" t="s">
        <v>91</v>
      </c>
      <c r="N201" s="133" t="s">
        <v>168</v>
      </c>
      <c r="O201" s="133" t="s">
        <v>229</v>
      </c>
      <c r="P201" s="133" t="s">
        <v>292</v>
      </c>
      <c r="Q201" s="133" t="s">
        <v>1459</v>
      </c>
      <c r="R201" s="325" t="s">
        <v>3851</v>
      </c>
      <c r="AA201" s="179" t="s">
        <v>3500</v>
      </c>
      <c r="AB201" s="178" t="s">
        <v>3122</v>
      </c>
      <c r="AH201"/>
      <c r="AI201"/>
    </row>
    <row r="202" spans="2:35">
      <c r="B202" s="182" t="str">
        <f t="shared" si="19"/>
        <v>Slide on na skrutku H4</v>
      </c>
      <c r="M202" s="175" t="s">
        <v>92</v>
      </c>
      <c r="N202" s="133" t="s">
        <v>169</v>
      </c>
      <c r="O202" s="133" t="s">
        <v>230</v>
      </c>
      <c r="P202" s="133" t="s">
        <v>293</v>
      </c>
      <c r="Q202" s="133" t="s">
        <v>1460</v>
      </c>
      <c r="R202" s="325" t="s">
        <v>3852</v>
      </c>
      <c r="AA202" s="179" t="s">
        <v>3501</v>
      </c>
      <c r="AB202" s="178" t="s">
        <v>3123</v>
      </c>
      <c r="AH202"/>
      <c r="AI202"/>
    </row>
    <row r="203" spans="2:35">
      <c r="B203" s="182" t="str">
        <f t="shared" si="19"/>
        <v>Slide on na eurosktutku H2</v>
      </c>
      <c r="M203" s="175" t="s">
        <v>93</v>
      </c>
      <c r="N203" s="133" t="s">
        <v>170</v>
      </c>
      <c r="O203" s="133" t="s">
        <v>231</v>
      </c>
      <c r="P203" s="133" t="s">
        <v>294</v>
      </c>
      <c r="Q203" s="133" t="s">
        <v>1461</v>
      </c>
      <c r="R203" s="325" t="s">
        <v>3853</v>
      </c>
      <c r="AA203" s="179" t="s">
        <v>3502</v>
      </c>
      <c r="AB203" s="178" t="s">
        <v>3124</v>
      </c>
      <c r="AH203"/>
      <c r="AI203"/>
    </row>
    <row r="204" spans="2:35">
      <c r="B204" s="182" t="str">
        <f t="shared" si="19"/>
        <v>Slide on na eurosktutku H4</v>
      </c>
      <c r="M204" s="175" t="s">
        <v>94</v>
      </c>
      <c r="N204" s="133" t="s">
        <v>171</v>
      </c>
      <c r="O204" s="133" t="s">
        <v>232</v>
      </c>
      <c r="P204" s="133" t="s">
        <v>295</v>
      </c>
      <c r="Q204" s="133" t="s">
        <v>1462</v>
      </c>
      <c r="R204" s="325" t="s">
        <v>3854</v>
      </c>
      <c r="AA204" s="178" t="s">
        <v>3503</v>
      </c>
      <c r="AB204" s="209" t="s">
        <v>3125</v>
      </c>
      <c r="AH204"/>
      <c r="AI204"/>
    </row>
    <row r="205" spans="2:35">
      <c r="B205" s="182" t="str">
        <f t="shared" si="19"/>
        <v>Naložený pre Blumotion</v>
      </c>
      <c r="M205" s="175" t="s">
        <v>78</v>
      </c>
      <c r="N205" s="133" t="s">
        <v>172</v>
      </c>
      <c r="O205" s="133" t="s">
        <v>233</v>
      </c>
      <c r="P205" s="133" t="s">
        <v>296</v>
      </c>
      <c r="Q205" s="133" t="s">
        <v>1463</v>
      </c>
      <c r="R205" s="325" t="s">
        <v>3855</v>
      </c>
      <c r="AA205" s="179" t="s">
        <v>4544</v>
      </c>
      <c r="AB205" s="178" t="s">
        <v>4523</v>
      </c>
      <c r="AH205"/>
      <c r="AI205"/>
    </row>
    <row r="206" spans="2:35">
      <c r="B206" s="182" t="str">
        <f t="shared" si="19"/>
        <v>Polonaložený s integr. blumotionom</v>
      </c>
      <c r="M206" s="175" t="s">
        <v>432</v>
      </c>
      <c r="N206" s="133" t="s">
        <v>471</v>
      </c>
      <c r="O206" s="133" t="s">
        <v>1301</v>
      </c>
      <c r="P206" s="133" t="s">
        <v>482</v>
      </c>
      <c r="Q206" s="133" t="s">
        <v>1464</v>
      </c>
      <c r="R206" s="325" t="s">
        <v>3856</v>
      </c>
      <c r="AA206" s="178" t="s">
        <v>3504</v>
      </c>
      <c r="AB206" s="178" t="s">
        <v>3126</v>
      </c>
      <c r="AH206"/>
      <c r="AI206"/>
    </row>
    <row r="207" spans="2:35">
      <c r="B207" s="182" t="str">
        <f t="shared" si="19"/>
        <v>Vložený s integr. blumotionom</v>
      </c>
      <c r="M207" s="175" t="s">
        <v>433</v>
      </c>
      <c r="N207" s="133" t="s">
        <v>472</v>
      </c>
      <c r="O207" s="133" t="s">
        <v>1302</v>
      </c>
      <c r="P207" s="133" t="s">
        <v>1247</v>
      </c>
      <c r="Q207" s="133" t="s">
        <v>1465</v>
      </c>
      <c r="R207" s="325" t="s">
        <v>3857</v>
      </c>
      <c r="AA207" s="178" t="s">
        <v>3505</v>
      </c>
      <c r="AB207" s="178" t="s">
        <v>3172</v>
      </c>
      <c r="AH207"/>
      <c r="AI207"/>
    </row>
    <row r="208" spans="2:35">
      <c r="B208" s="182" t="str">
        <f t="shared" si="19"/>
        <v>45°clip naložený</v>
      </c>
      <c r="M208" s="133" t="s">
        <v>80</v>
      </c>
      <c r="N208" s="133" t="s">
        <v>173</v>
      </c>
      <c r="O208" s="133" t="s">
        <v>234</v>
      </c>
      <c r="P208" s="133" t="s">
        <v>297</v>
      </c>
      <c r="Q208" s="133" t="s">
        <v>1466</v>
      </c>
      <c r="R208" s="325" t="s">
        <v>3858</v>
      </c>
      <c r="AA208" s="178" t="s">
        <v>3506</v>
      </c>
      <c r="AB208" s="209" t="s">
        <v>3170</v>
      </c>
      <c r="AH208"/>
      <c r="AI208"/>
    </row>
    <row r="209" spans="2:35">
      <c r="B209" s="182" t="str">
        <f t="shared" si="19"/>
        <v>45° clip polonaložený</v>
      </c>
      <c r="M209" s="133" t="s">
        <v>79</v>
      </c>
      <c r="N209" s="133" t="s">
        <v>79</v>
      </c>
      <c r="O209" s="133" t="s">
        <v>235</v>
      </c>
      <c r="P209" s="133" t="s">
        <v>1248</v>
      </c>
      <c r="Q209" s="133" t="s">
        <v>1467</v>
      </c>
      <c r="R209" s="325" t="s">
        <v>3859</v>
      </c>
      <c r="AA209" s="178" t="s">
        <v>3507</v>
      </c>
      <c r="AB209" s="209" t="s">
        <v>3127</v>
      </c>
      <c r="AH209"/>
      <c r="AI209"/>
    </row>
    <row r="210" spans="2:35">
      <c r="B210" s="182" t="str">
        <f t="shared" si="19"/>
        <v>Naložený bez pružiny</v>
      </c>
      <c r="M210" s="133" t="s">
        <v>73</v>
      </c>
      <c r="N210" s="133" t="s">
        <v>73</v>
      </c>
      <c r="O210" s="133" t="s">
        <v>236</v>
      </c>
      <c r="P210" s="133" t="s">
        <v>298</v>
      </c>
      <c r="Q210" s="133" t="s">
        <v>1468</v>
      </c>
      <c r="R210" s="325" t="s">
        <v>3860</v>
      </c>
      <c r="AA210" s="178" t="s">
        <v>3508</v>
      </c>
      <c r="AB210" s="178" t="s">
        <v>3128</v>
      </c>
      <c r="AH210"/>
      <c r="AI210"/>
    </row>
    <row r="211" spans="2:35">
      <c r="B211" s="182" t="str">
        <f t="shared" si="19"/>
        <v>Naložený bez pružiny(TIP-ON)</v>
      </c>
      <c r="M211" s="133" t="s">
        <v>81</v>
      </c>
      <c r="N211" s="133" t="s">
        <v>174</v>
      </c>
      <c r="O211" s="133" t="s">
        <v>237</v>
      </c>
      <c r="P211" s="133" t="s">
        <v>299</v>
      </c>
      <c r="Q211" s="133" t="s">
        <v>1469</v>
      </c>
      <c r="R211" s="325" t="s">
        <v>3861</v>
      </c>
      <c r="AA211" s="178" t="s">
        <v>3509</v>
      </c>
      <c r="AB211" s="178" t="s">
        <v>3129</v>
      </c>
      <c r="AH211"/>
      <c r="AI211"/>
    </row>
    <row r="212" spans="2:35">
      <c r="B212" s="182" t="str">
        <f t="shared" si="19"/>
        <v>Clip na euroskrutku</v>
      </c>
      <c r="M212" s="133" t="s">
        <v>83</v>
      </c>
      <c r="N212" s="133" t="s">
        <v>175</v>
      </c>
      <c r="O212" s="133" t="s">
        <v>238</v>
      </c>
      <c r="P212" s="133" t="s">
        <v>300</v>
      </c>
      <c r="Q212" s="133" t="s">
        <v>1470</v>
      </c>
      <c r="R212" s="325" t="s">
        <v>3862</v>
      </c>
      <c r="AA212" s="178" t="s">
        <v>3510</v>
      </c>
      <c r="AB212" s="209" t="s">
        <v>2568</v>
      </c>
      <c r="AH212"/>
      <c r="AI212"/>
    </row>
    <row r="213" spans="2:35">
      <c r="B213" s="182" t="str">
        <f t="shared" si="19"/>
        <v>Clip na skrutku</v>
      </c>
      <c r="M213" s="133" t="s">
        <v>82</v>
      </c>
      <c r="N213" s="133" t="s">
        <v>176</v>
      </c>
      <c r="O213" s="133" t="s">
        <v>239</v>
      </c>
      <c r="P213" s="133" t="s">
        <v>301</v>
      </c>
      <c r="Q213" s="133" t="s">
        <v>1471</v>
      </c>
      <c r="R213" s="325" t="s">
        <v>3863</v>
      </c>
      <c r="AA213" s="178" t="s">
        <v>3511</v>
      </c>
      <c r="AB213" s="209" t="s">
        <v>3171</v>
      </c>
      <c r="AH213"/>
      <c r="AI213"/>
    </row>
    <row r="214" spans="2:35">
      <c r="B214" s="182" t="str">
        <f t="shared" si="19"/>
        <v>Zvýšená o 6 mm</v>
      </c>
      <c r="M214" s="133" t="s">
        <v>84</v>
      </c>
      <c r="N214" s="133" t="s">
        <v>177</v>
      </c>
      <c r="O214" s="133" t="s">
        <v>1303</v>
      </c>
      <c r="P214" s="133" t="s">
        <v>302</v>
      </c>
      <c r="Q214" s="133" t="s">
        <v>906</v>
      </c>
      <c r="R214" s="325" t="s">
        <v>3864</v>
      </c>
      <c r="AA214" s="178" t="s">
        <v>3512</v>
      </c>
      <c r="AB214" s="209" t="s">
        <v>3130</v>
      </c>
      <c r="AH214"/>
      <c r="AI214"/>
    </row>
    <row r="215" spans="2:35">
      <c r="B215" s="182" t="str">
        <f t="shared" si="19"/>
        <v xml:space="preserve">45°clip </v>
      </c>
      <c r="M215" s="133" t="s">
        <v>0</v>
      </c>
      <c r="N215" s="133" t="s">
        <v>178</v>
      </c>
      <c r="O215" s="133" t="s">
        <v>0</v>
      </c>
      <c r="P215" s="133" t="s">
        <v>1249</v>
      </c>
      <c r="Q215" s="133" t="s">
        <v>1472</v>
      </c>
      <c r="R215" s="325" t="s">
        <v>3865</v>
      </c>
      <c r="AA215" s="178" t="s">
        <v>3513</v>
      </c>
      <c r="AB215" s="209" t="s">
        <v>3131</v>
      </c>
      <c r="AH215"/>
      <c r="AI215"/>
    </row>
    <row r="216" spans="2:35">
      <c r="B216" s="182" t="str">
        <f t="shared" si="19"/>
        <v>Clip na euroskrutku H0</v>
      </c>
      <c r="M216" s="133" t="s">
        <v>86</v>
      </c>
      <c r="N216" s="133" t="s">
        <v>179</v>
      </c>
      <c r="O216" s="133" t="s">
        <v>240</v>
      </c>
      <c r="P216" s="133" t="s">
        <v>303</v>
      </c>
      <c r="Q216" s="133" t="s">
        <v>1473</v>
      </c>
      <c r="R216" s="325" t="s">
        <v>3866</v>
      </c>
      <c r="AA216" s="178" t="s">
        <v>3514</v>
      </c>
      <c r="AB216" s="209" t="s">
        <v>3132</v>
      </c>
      <c r="AH216"/>
      <c r="AI216"/>
    </row>
    <row r="217" spans="2:35">
      <c r="B217" s="182" t="str">
        <f t="shared" si="19"/>
        <v>Clip na skrutku H0</v>
      </c>
      <c r="M217" s="133" t="s">
        <v>85</v>
      </c>
      <c r="N217" s="133" t="s">
        <v>180</v>
      </c>
      <c r="O217" s="133" t="s">
        <v>241</v>
      </c>
      <c r="P217" s="133" t="s">
        <v>304</v>
      </c>
      <c r="Q217" s="133" t="s">
        <v>1474</v>
      </c>
      <c r="R217" s="325" t="s">
        <v>3867</v>
      </c>
      <c r="AA217" s="178" t="s">
        <v>3515</v>
      </c>
      <c r="AB217" s="209" t="s">
        <v>3133</v>
      </c>
      <c r="AH217"/>
      <c r="AI217"/>
    </row>
    <row r="218" spans="2:35">
      <c r="B218" s="182" t="str">
        <f t="shared" si="19"/>
        <v>Výber pozície rámčeku</v>
      </c>
      <c r="M218" s="133" t="s">
        <v>104</v>
      </c>
      <c r="N218" s="133" t="s">
        <v>181</v>
      </c>
      <c r="O218" s="133" t="s">
        <v>1304</v>
      </c>
      <c r="P218" s="133" t="s">
        <v>305</v>
      </c>
      <c r="Q218" s="133" t="s">
        <v>1351</v>
      </c>
      <c r="R218" s="325" t="s">
        <v>3868</v>
      </c>
      <c r="AA218" s="177" t="s">
        <v>3516</v>
      </c>
      <c r="AB218" s="209" t="s">
        <v>3134</v>
      </c>
      <c r="AH218"/>
      <c r="AI218"/>
    </row>
    <row r="219" spans="2:35">
      <c r="B219" s="182" t="str">
        <f t="shared" si="19"/>
        <v>Výrobca závesov</v>
      </c>
      <c r="M219" s="133" t="s">
        <v>95</v>
      </c>
      <c r="N219" s="133" t="s">
        <v>182</v>
      </c>
      <c r="O219" s="133" t="s">
        <v>242</v>
      </c>
      <c r="P219" s="133" t="s">
        <v>306</v>
      </c>
      <c r="Q219" s="133" t="s">
        <v>1352</v>
      </c>
      <c r="R219" s="325" t="s">
        <v>3869</v>
      </c>
      <c r="AA219" s="34" t="s">
        <v>3517</v>
      </c>
      <c r="AB219" s="185" t="s">
        <v>3135</v>
      </c>
      <c r="AH219"/>
      <c r="AI219"/>
    </row>
    <row r="220" spans="2:35">
      <c r="B220" s="182" t="str">
        <f t="shared" si="19"/>
        <v>Typ závesov</v>
      </c>
      <c r="M220" s="133" t="s">
        <v>96</v>
      </c>
      <c r="N220" s="133" t="s">
        <v>183</v>
      </c>
      <c r="O220" s="133" t="s">
        <v>243</v>
      </c>
      <c r="P220" s="133" t="s">
        <v>307</v>
      </c>
      <c r="Q220" s="133" t="s">
        <v>1475</v>
      </c>
      <c r="R220" s="325" t="s">
        <v>3870</v>
      </c>
      <c r="AA220" s="34" t="s">
        <v>3518</v>
      </c>
      <c r="AB220" s="185" t="s">
        <v>3136</v>
      </c>
      <c r="AH220"/>
      <c r="AI220"/>
    </row>
    <row r="221" spans="2:35">
      <c r="B221" s="182" t="str">
        <f t="shared" si="19"/>
        <v>Typ Aventosu</v>
      </c>
      <c r="M221" s="175" t="s">
        <v>97</v>
      </c>
      <c r="N221" s="133" t="s">
        <v>97</v>
      </c>
      <c r="O221" s="133" t="s">
        <v>244</v>
      </c>
      <c r="P221" s="133" t="s">
        <v>1250</v>
      </c>
      <c r="Q221" s="133" t="s">
        <v>1476</v>
      </c>
      <c r="R221" s="325" t="s">
        <v>3871</v>
      </c>
      <c r="AA221" s="185" t="s">
        <v>3519</v>
      </c>
      <c r="AB221" s="185" t="s">
        <v>3137</v>
      </c>
      <c r="AH221"/>
      <c r="AI221"/>
    </row>
    <row r="222" spans="2:35">
      <c r="B222" s="182" t="str">
        <f t="shared" si="19"/>
        <v>Typ podložky</v>
      </c>
      <c r="M222" s="175" t="s">
        <v>98</v>
      </c>
      <c r="N222" s="133" t="s">
        <v>98</v>
      </c>
      <c r="O222" s="133" t="s">
        <v>245</v>
      </c>
      <c r="P222" s="133" t="s">
        <v>308</v>
      </c>
      <c r="Q222" s="133" t="s">
        <v>1477</v>
      </c>
      <c r="R222" s="325" t="s">
        <v>3872</v>
      </c>
      <c r="AA222" s="185" t="s">
        <v>3520</v>
      </c>
      <c r="AB222" s="185" t="s">
        <v>2599</v>
      </c>
      <c r="AH222"/>
      <c r="AI222"/>
    </row>
    <row r="223" spans="2:35">
      <c r="B223" s="182" t="str">
        <f t="shared" si="19"/>
        <v>Počet závesov na 1 rámček</v>
      </c>
      <c r="M223" s="175" t="s">
        <v>2331</v>
      </c>
      <c r="N223" s="133" t="s">
        <v>184</v>
      </c>
      <c r="O223" s="133" t="s">
        <v>246</v>
      </c>
      <c r="P223" s="133" t="s">
        <v>309</v>
      </c>
      <c r="Q223" s="133" t="s">
        <v>1353</v>
      </c>
      <c r="R223" s="325" t="s">
        <v>3873</v>
      </c>
      <c r="AA223" s="185" t="s">
        <v>3521</v>
      </c>
      <c r="AB223" s="185" t="s">
        <v>3138</v>
      </c>
      <c r="AH223"/>
      <c r="AI223"/>
    </row>
    <row r="224" spans="2:35">
      <c r="B224" s="182" t="str">
        <f t="shared" si="19"/>
        <v>Zdvíhacie piesty</v>
      </c>
      <c r="M224" s="175" t="s">
        <v>100</v>
      </c>
      <c r="N224" s="133" t="s">
        <v>185</v>
      </c>
      <c r="O224" s="133" t="s">
        <v>247</v>
      </c>
      <c r="P224" s="133" t="s">
        <v>1251</v>
      </c>
      <c r="Q224" s="133" t="s">
        <v>1478</v>
      </c>
      <c r="R224" s="325" t="s">
        <v>3874</v>
      </c>
      <c r="AA224" s="185" t="s">
        <v>3522</v>
      </c>
      <c r="AB224" s="185" t="s">
        <v>3173</v>
      </c>
      <c r="AH224"/>
      <c r="AI224"/>
    </row>
    <row r="225" spans="2:35">
      <c r="B225" s="182" t="str">
        <f t="shared" si="19"/>
        <v>Dodať vrátane uvedeného kovania</v>
      </c>
      <c r="M225" s="175" t="s">
        <v>99</v>
      </c>
      <c r="N225" s="133" t="s">
        <v>186</v>
      </c>
      <c r="O225" s="133" t="s">
        <v>274</v>
      </c>
      <c r="P225" s="133" t="s">
        <v>1252</v>
      </c>
      <c r="Q225" s="133" t="s">
        <v>1354</v>
      </c>
      <c r="R225" s="325" t="s">
        <v>3875</v>
      </c>
      <c r="AA225" s="325" t="s">
        <v>3728</v>
      </c>
      <c r="AB225" s="178" t="s">
        <v>554</v>
      </c>
      <c r="AH225"/>
      <c r="AI225"/>
    </row>
    <row r="226" spans="2:35">
      <c r="B226" s="182" t="str">
        <f t="shared" si="19"/>
        <v>Umiestnenie</v>
      </c>
      <c r="M226" s="175" t="s">
        <v>2116</v>
      </c>
      <c r="N226" s="133" t="s">
        <v>2117</v>
      </c>
      <c r="O226" s="133" t="s">
        <v>2118</v>
      </c>
      <c r="P226" s="133" t="s">
        <v>2120</v>
      </c>
      <c r="Q226" s="133" t="s">
        <v>2119</v>
      </c>
      <c r="R226" s="325" t="s">
        <v>3876</v>
      </c>
      <c r="AA226" s="325" t="s">
        <v>3729</v>
      </c>
      <c r="AB226" s="178" t="s">
        <v>4524</v>
      </c>
      <c r="AH226"/>
      <c r="AI226"/>
    </row>
    <row r="227" spans="2:35">
      <c r="B227" s="182" t="str">
        <f t="shared" si="19"/>
        <v>Navrchu</v>
      </c>
      <c r="M227" s="175" t="s">
        <v>111</v>
      </c>
      <c r="N227" s="133" t="s">
        <v>1134</v>
      </c>
      <c r="O227" s="133" t="s">
        <v>1132</v>
      </c>
      <c r="P227" s="133" t="s">
        <v>1133</v>
      </c>
      <c r="Q227" s="133" t="s">
        <v>1355</v>
      </c>
      <c r="R227" s="325" t="s">
        <v>3877</v>
      </c>
      <c r="AA227" s="325" t="s">
        <v>3730</v>
      </c>
      <c r="AB227" s="178" t="s">
        <v>4525</v>
      </c>
      <c r="AH227"/>
      <c r="AI227"/>
    </row>
    <row r="228" spans="2:35">
      <c r="B228" s="182" t="str">
        <f t="shared" si="19"/>
        <v>Dole</v>
      </c>
      <c r="M228" s="175" t="s">
        <v>112</v>
      </c>
      <c r="N228" s="133" t="s">
        <v>112</v>
      </c>
      <c r="O228" s="133" t="s">
        <v>1305</v>
      </c>
      <c r="P228" s="133" t="s">
        <v>1135</v>
      </c>
      <c r="Q228" s="133" t="s">
        <v>916</v>
      </c>
      <c r="R228" s="325" t="s">
        <v>3878</v>
      </c>
      <c r="AA228" s="325" t="s">
        <v>3731</v>
      </c>
      <c r="AB228" s="178" t="s">
        <v>3100</v>
      </c>
      <c r="AH228"/>
      <c r="AI228"/>
    </row>
    <row r="229" spans="2:35">
      <c r="B229" s="182" t="str">
        <f t="shared" si="19"/>
        <v>Vpravo</v>
      </c>
      <c r="M229" s="175" t="s">
        <v>102</v>
      </c>
      <c r="N229" s="133" t="s">
        <v>187</v>
      </c>
      <c r="O229" s="133" t="s">
        <v>248</v>
      </c>
      <c r="P229" s="133" t="s">
        <v>310</v>
      </c>
      <c r="Q229" s="133" t="s">
        <v>907</v>
      </c>
      <c r="R229" s="325" t="s">
        <v>3879</v>
      </c>
      <c r="AA229" s="325" t="s">
        <v>3732</v>
      </c>
      <c r="AB229" s="178" t="s">
        <v>4526</v>
      </c>
      <c r="AH229"/>
      <c r="AI229"/>
    </row>
    <row r="230" spans="2:35">
      <c r="B230" s="182" t="str">
        <f t="shared" si="19"/>
        <v>Vľavo</v>
      </c>
      <c r="M230" s="175" t="s">
        <v>101</v>
      </c>
      <c r="N230" s="133" t="s">
        <v>188</v>
      </c>
      <c r="O230" s="133" t="s">
        <v>249</v>
      </c>
      <c r="P230" s="133" t="s">
        <v>311</v>
      </c>
      <c r="Q230" s="133" t="s">
        <v>908</v>
      </c>
      <c r="R230" s="325" t="s">
        <v>3880</v>
      </c>
      <c r="AA230" s="325" t="s">
        <v>3733</v>
      </c>
      <c r="AB230" s="178" t="s">
        <v>4527</v>
      </c>
      <c r="AH230"/>
      <c r="AI230"/>
    </row>
    <row r="231" spans="2:35">
      <c r="B231" s="182" t="str">
        <f t="shared" si="19"/>
        <v>2 Kusy (obe strany)</v>
      </c>
      <c r="M231" s="175" t="s">
        <v>103</v>
      </c>
      <c r="N231" s="133" t="s">
        <v>189</v>
      </c>
      <c r="O231" s="133" t="s">
        <v>250</v>
      </c>
      <c r="P231" s="133" t="s">
        <v>312</v>
      </c>
      <c r="Q231" s="133" t="s">
        <v>909</v>
      </c>
      <c r="R231" s="325" t="s">
        <v>3881</v>
      </c>
      <c r="AA231" s="325" t="s">
        <v>3734</v>
      </c>
      <c r="AB231" s="178" t="s">
        <v>4528</v>
      </c>
      <c r="AH231"/>
      <c r="AI231"/>
    </row>
    <row r="232" spans="2:35">
      <c r="B232" s="182" t="str">
        <f t="shared" si="19"/>
        <v>Vyhotovenie druhého dvierka</v>
      </c>
      <c r="M232" s="175" t="s">
        <v>115</v>
      </c>
      <c r="N232" s="133" t="s">
        <v>190</v>
      </c>
      <c r="O232" s="133" t="s">
        <v>273</v>
      </c>
      <c r="P232" s="133" t="s">
        <v>1253</v>
      </c>
      <c r="Q232" s="133" t="s">
        <v>1479</v>
      </c>
      <c r="R232" s="325" t="s">
        <v>3882</v>
      </c>
      <c r="AA232" s="325" t="s">
        <v>3735</v>
      </c>
      <c r="AB232" s="179" t="s">
        <v>1603</v>
      </c>
      <c r="AH232"/>
      <c r="AI232"/>
    </row>
    <row r="233" spans="2:35">
      <c r="B233" s="182" t="str">
        <f t="shared" si="19"/>
        <v>Úzky ALU rámček</v>
      </c>
      <c r="M233" s="175" t="s">
        <v>105</v>
      </c>
      <c r="N233" s="133" t="s">
        <v>191</v>
      </c>
      <c r="O233" s="133" t="s">
        <v>251</v>
      </c>
      <c r="P233" s="133" t="s">
        <v>313</v>
      </c>
      <c r="Q233" s="133" t="s">
        <v>1356</v>
      </c>
      <c r="R233" s="325" t="s">
        <v>3883</v>
      </c>
      <c r="AA233" s="325" t="s">
        <v>3736</v>
      </c>
      <c r="AB233" s="178" t="s">
        <v>4529</v>
      </c>
      <c r="AH233"/>
      <c r="AI233"/>
    </row>
    <row r="234" spans="2:35">
      <c r="B234" s="182" t="str">
        <f t="shared" ref="B234:B297" si="20">IF($D$1=1,M234,IF($D$1=2,N234,IF($D$1=3,O234,IF($D$1=4,P234,IF($D$1=5,Q234,IF($D$1=6,R234,0))))))</f>
        <v>Široký ALU rámček</v>
      </c>
      <c r="M234" s="175" t="s">
        <v>106</v>
      </c>
      <c r="N234" s="133" t="s">
        <v>192</v>
      </c>
      <c r="O234" s="133" t="s">
        <v>252</v>
      </c>
      <c r="P234" s="133" t="s">
        <v>314</v>
      </c>
      <c r="Q234" s="133" t="s">
        <v>1357</v>
      </c>
      <c r="R234" s="325" t="s">
        <v>3884</v>
      </c>
      <c r="AA234" s="325" t="s">
        <v>4513</v>
      </c>
      <c r="AB234" s="178" t="s">
        <v>4519</v>
      </c>
      <c r="AH234"/>
      <c r="AI234"/>
    </row>
    <row r="235" spans="2:35">
      <c r="B235" s="182" t="str">
        <f t="shared" si="20"/>
        <v>MDF hrúbky 16 mm</v>
      </c>
      <c r="M235" s="175" t="s">
        <v>108</v>
      </c>
      <c r="N235" s="133" t="s">
        <v>193</v>
      </c>
      <c r="O235" s="133" t="s">
        <v>253</v>
      </c>
      <c r="P235" s="133" t="s">
        <v>315</v>
      </c>
      <c r="Q235" s="133" t="s">
        <v>1480</v>
      </c>
      <c r="R235" s="325" t="s">
        <v>3885</v>
      </c>
      <c r="AA235" s="325" t="s">
        <v>4505</v>
      </c>
      <c r="AB235" s="178" t="s">
        <v>4521</v>
      </c>
      <c r="AH235"/>
      <c r="AI235"/>
    </row>
    <row r="236" spans="2:35">
      <c r="B236" s="182" t="str">
        <f t="shared" si="20"/>
        <v>MDF hrúbky 18 mm</v>
      </c>
      <c r="M236" s="175" t="s">
        <v>107</v>
      </c>
      <c r="N236" s="133" t="s">
        <v>194</v>
      </c>
      <c r="O236" s="133" t="s">
        <v>254</v>
      </c>
      <c r="P236" s="133" t="s">
        <v>316</v>
      </c>
      <c r="Q236" s="133" t="s">
        <v>1481</v>
      </c>
      <c r="R236" s="325" t="s">
        <v>3886</v>
      </c>
      <c r="AA236" s="325" t="s">
        <v>3737</v>
      </c>
      <c r="AB236" s="178" t="s">
        <v>555</v>
      </c>
      <c r="AH236"/>
      <c r="AI236"/>
    </row>
    <row r="237" spans="2:35">
      <c r="B237" s="182" t="str">
        <f t="shared" si="20"/>
        <v>DTDL hrúbky 18 mm</v>
      </c>
      <c r="M237" s="175" t="s">
        <v>109</v>
      </c>
      <c r="N237" s="133" t="s">
        <v>195</v>
      </c>
      <c r="O237" s="133" t="s">
        <v>1306</v>
      </c>
      <c r="P237" s="133" t="s">
        <v>1254</v>
      </c>
      <c r="Q237" s="133" t="s">
        <v>965</v>
      </c>
      <c r="R237" s="325" t="s">
        <v>3887</v>
      </c>
      <c r="AA237" s="325" t="s">
        <v>3738</v>
      </c>
      <c r="AB237" s="178" t="s">
        <v>3105</v>
      </c>
      <c r="AH237"/>
      <c r="AI237"/>
    </row>
    <row r="238" spans="2:35">
      <c r="B238" s="182" t="str">
        <f t="shared" si="20"/>
        <v>Umiestnenie závesov</v>
      </c>
      <c r="M238" s="175" t="s">
        <v>110</v>
      </c>
      <c r="N238" s="133" t="s">
        <v>196</v>
      </c>
      <c r="O238" s="133" t="s">
        <v>255</v>
      </c>
      <c r="P238" s="133" t="s">
        <v>317</v>
      </c>
      <c r="Q238" s="133" t="s">
        <v>1358</v>
      </c>
      <c r="R238" s="325" t="s">
        <v>3888</v>
      </c>
      <c r="AA238" s="325" t="s">
        <v>3739</v>
      </c>
      <c r="AB238" s="178" t="s">
        <v>3106</v>
      </c>
      <c r="AH238"/>
      <c r="AI238"/>
    </row>
    <row r="239" spans="2:35">
      <c r="B239" s="182" t="str">
        <f t="shared" si="20"/>
        <v>Hore</v>
      </c>
      <c r="M239" s="175" t="s">
        <v>111</v>
      </c>
      <c r="N239" s="133" t="s">
        <v>197</v>
      </c>
      <c r="O239" s="133" t="s">
        <v>1132</v>
      </c>
      <c r="P239" s="133" t="s">
        <v>1133</v>
      </c>
      <c r="Q239" s="133" t="s">
        <v>1355</v>
      </c>
      <c r="R239" s="325" t="s">
        <v>3877</v>
      </c>
      <c r="AA239" s="325" t="s">
        <v>3740</v>
      </c>
      <c r="AB239" s="178" t="s">
        <v>3107</v>
      </c>
      <c r="AH239"/>
      <c r="AI239"/>
    </row>
    <row r="240" spans="2:35">
      <c r="B240" s="182" t="str">
        <f t="shared" si="20"/>
        <v>Dole</v>
      </c>
      <c r="M240" s="175" t="s">
        <v>112</v>
      </c>
      <c r="N240" s="133" t="s">
        <v>112</v>
      </c>
      <c r="O240" s="133" t="s">
        <v>1305</v>
      </c>
      <c r="P240" s="133" t="s">
        <v>1135</v>
      </c>
      <c r="Q240" s="133" t="s">
        <v>916</v>
      </c>
      <c r="R240" s="325" t="s">
        <v>3878</v>
      </c>
      <c r="AA240" s="325" t="s">
        <v>3741</v>
      </c>
      <c r="AB240" s="178" t="s">
        <v>3108</v>
      </c>
      <c r="AH240"/>
      <c r="AI240"/>
    </row>
    <row r="241" spans="2:35">
      <c r="B241" s="182" t="str">
        <f t="shared" si="20"/>
        <v>vyberte zo zoznamu</v>
      </c>
      <c r="M241" s="175" t="s">
        <v>3640</v>
      </c>
      <c r="N241" s="133" t="s">
        <v>3641</v>
      </c>
      <c r="O241" s="133" t="s">
        <v>3642</v>
      </c>
      <c r="P241" s="133" t="s">
        <v>3643</v>
      </c>
      <c r="Q241" s="133" t="s">
        <v>3644</v>
      </c>
      <c r="R241" s="325" t="s">
        <v>3889</v>
      </c>
      <c r="AA241" s="325" t="s">
        <v>3742</v>
      </c>
      <c r="AB241" s="178" t="s">
        <v>3109</v>
      </c>
      <c r="AH241"/>
      <c r="AI241"/>
    </row>
    <row r="242" spans="2:35">
      <c r="B242" s="182" t="str">
        <f t="shared" si="20"/>
        <v>Vzdialenosť od ľavého kraja</v>
      </c>
      <c r="M242" s="175" t="s">
        <v>4437</v>
      </c>
      <c r="N242" s="133" t="s">
        <v>4438</v>
      </c>
      <c r="O242" s="133" t="s">
        <v>4439</v>
      </c>
      <c r="P242" s="133" t="s">
        <v>4440</v>
      </c>
      <c r="Q242" s="133" t="s">
        <v>4441</v>
      </c>
      <c r="R242" s="325" t="s">
        <v>4442</v>
      </c>
      <c r="AA242" s="325" t="s">
        <v>3743</v>
      </c>
      <c r="AB242" s="178" t="s">
        <v>3110</v>
      </c>
      <c r="AH242"/>
      <c r="AI242"/>
    </row>
    <row r="243" spans="2:35">
      <c r="B243" s="182" t="str">
        <f t="shared" si="20"/>
        <v>Vzdialenosť závesu od kraja</v>
      </c>
      <c r="M243" s="175" t="s">
        <v>116</v>
      </c>
      <c r="N243" s="133" t="s">
        <v>198</v>
      </c>
      <c r="O243" s="133" t="s">
        <v>256</v>
      </c>
      <c r="P243" s="133" t="s">
        <v>318</v>
      </c>
      <c r="Q243" s="133" t="s">
        <v>1482</v>
      </c>
      <c r="R243" s="325" t="s">
        <v>3890</v>
      </c>
      <c r="AA243" s="325" t="s">
        <v>3744</v>
      </c>
      <c r="AB243" s="179" t="s">
        <v>3111</v>
      </c>
      <c r="AH243"/>
      <c r="AI243"/>
    </row>
    <row r="244" spans="2:35">
      <c r="B244" s="182" t="str">
        <f t="shared" si="20"/>
        <v>Vyplňte iba ak nebude vŕtanie symetricky na stred</v>
      </c>
      <c r="M244" s="175" t="s">
        <v>117</v>
      </c>
      <c r="N244" s="133" t="s">
        <v>199</v>
      </c>
      <c r="O244" s="133" t="s">
        <v>877</v>
      </c>
      <c r="P244" s="133" t="s">
        <v>319</v>
      </c>
      <c r="Q244" s="133" t="s">
        <v>1483</v>
      </c>
      <c r="R244" s="325" t="s">
        <v>3891</v>
      </c>
      <c r="AA244" s="325" t="s">
        <v>3745</v>
      </c>
      <c r="AB244" s="178" t="s">
        <v>3112</v>
      </c>
      <c r="AH244"/>
      <c r="AI244"/>
    </row>
    <row r="245" spans="2:35">
      <c r="B245" s="182" t="str">
        <f t="shared" si="20"/>
        <v>Objednávkový formulár ALU rámčekov</v>
      </c>
      <c r="M245" s="175" t="s">
        <v>118</v>
      </c>
      <c r="N245" s="133" t="s">
        <v>200</v>
      </c>
      <c r="O245" s="133" t="s">
        <v>257</v>
      </c>
      <c r="P245" s="133" t="s">
        <v>373</v>
      </c>
      <c r="Q245" s="133" t="s">
        <v>1484</v>
      </c>
      <c r="R245" s="325" t="s">
        <v>3892</v>
      </c>
      <c r="AA245" s="325" t="s">
        <v>3746</v>
      </c>
      <c r="AB245" s="178" t="s">
        <v>4522</v>
      </c>
      <c r="AH245"/>
      <c r="AI245"/>
    </row>
    <row r="246" spans="2:35">
      <c r="B246" s="182" t="str">
        <f t="shared" si="20"/>
        <v>Pri vyplňaní formulára postupujte vždy zhora nadol. Ak urobíte spätne zmenu, prekontrolujte či sú nasledovné položky správne.</v>
      </c>
      <c r="M246" s="175" t="s">
        <v>152</v>
      </c>
      <c r="N246" s="133" t="s">
        <v>207</v>
      </c>
      <c r="O246" s="133" t="s">
        <v>258</v>
      </c>
      <c r="P246" s="133" t="s">
        <v>1255</v>
      </c>
      <c r="Q246" s="133" t="s">
        <v>1485</v>
      </c>
      <c r="R246" s="325" t="s">
        <v>3893</v>
      </c>
      <c r="AA246" s="325" t="s">
        <v>3749</v>
      </c>
      <c r="AB246" s="178" t="s">
        <v>3113</v>
      </c>
      <c r="AH246"/>
      <c r="AI246"/>
    </row>
    <row r="247" spans="2:35">
      <c r="B247" s="182" t="str">
        <f t="shared" si="20"/>
        <v>Ceny sú platné od  27.1.2026/Verzia 8.2</v>
      </c>
      <c r="M247" s="175" t="s">
        <v>4537</v>
      </c>
      <c r="N247" s="133" t="s">
        <v>4538</v>
      </c>
      <c r="O247" s="133" t="s">
        <v>4539</v>
      </c>
      <c r="P247" s="133" t="s">
        <v>4540</v>
      </c>
      <c r="Q247" s="133" t="s">
        <v>4541</v>
      </c>
      <c r="R247" s="325" t="s">
        <v>4542</v>
      </c>
      <c r="AA247" s="325" t="s">
        <v>3750</v>
      </c>
      <c r="AB247" s="178" t="s">
        <v>3114</v>
      </c>
      <c r="AH247"/>
      <c r="AI247"/>
    </row>
    <row r="248" spans="2:35">
      <c r="B248" s="182" t="str">
        <f t="shared" si="20"/>
        <v>Cena celkom</v>
      </c>
      <c r="M248" s="175" t="s">
        <v>15</v>
      </c>
      <c r="N248" s="133" t="s">
        <v>201</v>
      </c>
      <c r="O248" s="133" t="s">
        <v>259</v>
      </c>
      <c r="P248" s="133" t="s">
        <v>320</v>
      </c>
      <c r="Q248" s="133" t="s">
        <v>1359</v>
      </c>
      <c r="R248" s="325" t="s">
        <v>3894</v>
      </c>
      <c r="AA248" s="325" t="s">
        <v>3751</v>
      </c>
      <c r="AB248" s="179" t="s">
        <v>3115</v>
      </c>
      <c r="AH248"/>
      <c r="AI248"/>
    </row>
    <row r="249" spans="2:35">
      <c r="B249" s="182" t="str">
        <f t="shared" si="20"/>
        <v>Zákazník</v>
      </c>
      <c r="M249" s="175" t="s">
        <v>120</v>
      </c>
      <c r="N249" s="133" t="s">
        <v>120</v>
      </c>
      <c r="O249" s="133" t="s">
        <v>260</v>
      </c>
      <c r="P249" s="133" t="s">
        <v>321</v>
      </c>
      <c r="Q249" s="133" t="s">
        <v>910</v>
      </c>
      <c r="R249" s="325" t="s">
        <v>3895</v>
      </c>
      <c r="AA249" s="325" t="s">
        <v>3754</v>
      </c>
      <c r="AB249" s="178" t="s">
        <v>3116</v>
      </c>
      <c r="AH249"/>
      <c r="AI249"/>
    </row>
    <row r="250" spans="2:35">
      <c r="B250" s="182" t="str">
        <f t="shared" si="20"/>
        <v>Kontaktný tel.</v>
      </c>
      <c r="M250" s="175" t="s">
        <v>122</v>
      </c>
      <c r="N250" s="133" t="s">
        <v>202</v>
      </c>
      <c r="O250" s="133" t="s">
        <v>261</v>
      </c>
      <c r="P250" s="133" t="s">
        <v>322</v>
      </c>
      <c r="Q250" s="133" t="s">
        <v>1486</v>
      </c>
      <c r="R250" s="325" t="s">
        <v>3896</v>
      </c>
      <c r="AA250" s="325" t="s">
        <v>3755</v>
      </c>
      <c r="AB250" s="178" t="s">
        <v>3117</v>
      </c>
      <c r="AH250"/>
      <c r="AI250"/>
    </row>
    <row r="251" spans="2:35">
      <c r="B251" s="182" t="str">
        <f t="shared" si="20"/>
        <v>Kontaktný e -mail</v>
      </c>
      <c r="M251" s="175" t="s">
        <v>123</v>
      </c>
      <c r="N251" s="133" t="s">
        <v>203</v>
      </c>
      <c r="O251" s="133" t="s">
        <v>262</v>
      </c>
      <c r="P251" s="133" t="s">
        <v>323</v>
      </c>
      <c r="Q251" s="133" t="s">
        <v>1487</v>
      </c>
      <c r="R251" s="325" t="s">
        <v>3897</v>
      </c>
      <c r="AA251" s="325" t="s">
        <v>3756</v>
      </c>
      <c r="AB251" s="178" t="s">
        <v>3118</v>
      </c>
      <c r="AH251"/>
      <c r="AI251"/>
    </row>
    <row r="252" spans="2:35">
      <c r="B252" s="182" t="str">
        <f t="shared" si="20"/>
        <v>Adresa prevádzky</v>
      </c>
      <c r="M252" s="175" t="s">
        <v>121</v>
      </c>
      <c r="N252" s="133" t="s">
        <v>204</v>
      </c>
      <c r="O252" s="133" t="s">
        <v>263</v>
      </c>
      <c r="P252" s="133" t="s">
        <v>324</v>
      </c>
      <c r="Q252" s="133" t="s">
        <v>1488</v>
      </c>
      <c r="R252" s="325" t="s">
        <v>3898</v>
      </c>
      <c r="AA252" s="325" t="s">
        <v>3757</v>
      </c>
      <c r="AB252" s="178" t="s">
        <v>3119</v>
      </c>
      <c r="AH252"/>
      <c r="AI252"/>
    </row>
    <row r="253" spans="2:35">
      <c r="B253" s="182" t="str">
        <f t="shared" si="20"/>
        <v>IČ:</v>
      </c>
      <c r="M253" s="175" t="s">
        <v>119</v>
      </c>
      <c r="N253" s="133" t="s">
        <v>119</v>
      </c>
      <c r="O253" s="133" t="s">
        <v>264</v>
      </c>
      <c r="P253" s="133" t="s">
        <v>119</v>
      </c>
      <c r="Q253" s="133" t="s">
        <v>1360</v>
      </c>
      <c r="R253" s="325" t="s">
        <v>3899</v>
      </c>
      <c r="AA253" s="325" t="s">
        <v>3758</v>
      </c>
      <c r="AB253" s="178" t="s">
        <v>3120</v>
      </c>
      <c r="AH253"/>
      <c r="AI253"/>
    </row>
    <row r="254" spans="2:35">
      <c r="B254" s="182" t="str">
        <f t="shared" si="20"/>
        <v>Zľava na rámčeky</v>
      </c>
      <c r="M254" s="175" t="s">
        <v>124</v>
      </c>
      <c r="N254" s="133" t="s">
        <v>205</v>
      </c>
      <c r="O254" s="133" t="s">
        <v>265</v>
      </c>
      <c r="P254" s="133" t="s">
        <v>325</v>
      </c>
      <c r="Q254" s="133" t="s">
        <v>911</v>
      </c>
      <c r="R254" s="325" t="s">
        <v>3900</v>
      </c>
      <c r="AA254" s="325" t="s">
        <v>3759</v>
      </c>
      <c r="AB254" s="178" t="s">
        <v>3121</v>
      </c>
      <c r="AH254"/>
      <c r="AI254"/>
    </row>
    <row r="255" spans="2:35">
      <c r="B255" s="182" t="str">
        <f t="shared" si="20"/>
        <v>Zľava na kovanie</v>
      </c>
      <c r="M255" s="175" t="s">
        <v>125</v>
      </c>
      <c r="N255" s="133" t="s">
        <v>206</v>
      </c>
      <c r="O255" s="133" t="s">
        <v>266</v>
      </c>
      <c r="P255" s="133" t="s">
        <v>326</v>
      </c>
      <c r="Q255" s="133" t="s">
        <v>912</v>
      </c>
      <c r="R255" s="325" t="s">
        <v>3901</v>
      </c>
      <c r="AA255" s="325" t="s">
        <v>3760</v>
      </c>
      <c r="AB255" s="178" t="s">
        <v>3117</v>
      </c>
      <c r="AH255"/>
      <c r="AI255"/>
    </row>
    <row r="256" spans="2:35">
      <c r="B256" s="182" t="str">
        <f t="shared" si="20"/>
        <v>Číslo objednávky</v>
      </c>
      <c r="M256" s="175" t="s">
        <v>145</v>
      </c>
      <c r="N256" s="133" t="s">
        <v>145</v>
      </c>
      <c r="O256" s="133" t="s">
        <v>11</v>
      </c>
      <c r="P256" s="133" t="s">
        <v>327</v>
      </c>
      <c r="Q256" s="133" t="s">
        <v>1361</v>
      </c>
      <c r="R256" s="325" t="s">
        <v>3902</v>
      </c>
      <c r="AA256" s="325" t="s">
        <v>4516</v>
      </c>
      <c r="AB256" s="178" t="s">
        <v>4520</v>
      </c>
      <c r="AH256"/>
      <c r="AI256"/>
    </row>
    <row r="257" spans="2:35">
      <c r="B257" s="182" t="str">
        <f t="shared" si="20"/>
        <v>Farebné náhľady u jednotlivých názvov RAL a REF sú len orientačné !!!</v>
      </c>
      <c r="M257" s="175" t="s">
        <v>144</v>
      </c>
      <c r="N257" s="133" t="s">
        <v>209</v>
      </c>
      <c r="O257" s="133" t="s">
        <v>878</v>
      </c>
      <c r="P257" s="133" t="s">
        <v>1256</v>
      </c>
      <c r="Q257" s="133" t="s">
        <v>1362</v>
      </c>
      <c r="R257" s="325" t="s">
        <v>3903</v>
      </c>
      <c r="AA257" s="325" t="s">
        <v>3761</v>
      </c>
      <c r="AB257" s="178" t="s">
        <v>3122</v>
      </c>
      <c r="AH257"/>
      <c r="AI257"/>
    </row>
    <row r="258" spans="2:35">
      <c r="B258" s="182" t="str">
        <f t="shared" si="20"/>
        <v>Typ kovania</v>
      </c>
      <c r="M258" s="175" t="s">
        <v>50</v>
      </c>
      <c r="N258" s="133" t="s">
        <v>208</v>
      </c>
      <c r="O258" s="133" t="s">
        <v>272</v>
      </c>
      <c r="P258" s="133" t="s">
        <v>874</v>
      </c>
      <c r="Q258" s="133" t="s">
        <v>1489</v>
      </c>
      <c r="R258" t="s">
        <v>3904</v>
      </c>
      <c r="AA258" s="325" t="s">
        <v>3762</v>
      </c>
      <c r="AB258" s="178" t="s">
        <v>3123</v>
      </c>
      <c r="AH258"/>
      <c r="AI258"/>
    </row>
    <row r="259" spans="2:35">
      <c r="B259" s="182" t="str">
        <f t="shared" si="20"/>
        <v>AVENTOS HF</v>
      </c>
      <c r="M259" s="175" t="s">
        <v>53</v>
      </c>
      <c r="N259" s="175" t="s">
        <v>53</v>
      </c>
      <c r="O259" s="133" t="s">
        <v>53</v>
      </c>
      <c r="P259" s="133" t="s">
        <v>53</v>
      </c>
      <c r="Q259" s="133" t="s">
        <v>53</v>
      </c>
      <c r="R259" s="326" t="s">
        <v>53</v>
      </c>
      <c r="AA259" s="325" t="s">
        <v>3763</v>
      </c>
      <c r="AB259" s="178" t="s">
        <v>3124</v>
      </c>
      <c r="AH259"/>
      <c r="AI259"/>
    </row>
    <row r="260" spans="2:35">
      <c r="B260" s="182" t="str">
        <f t="shared" si="20"/>
        <v>AVENTOS HK TOP</v>
      </c>
      <c r="M260" s="133" t="s">
        <v>886</v>
      </c>
      <c r="N260" s="133" t="s">
        <v>886</v>
      </c>
      <c r="O260" s="133" t="s">
        <v>886</v>
      </c>
      <c r="P260" s="133" t="s">
        <v>886</v>
      </c>
      <c r="Q260" s="133" t="s">
        <v>886</v>
      </c>
      <c r="R260" s="327" t="s">
        <v>886</v>
      </c>
      <c r="AA260" s="325" t="s">
        <v>3764</v>
      </c>
      <c r="AB260" s="209" t="s">
        <v>3125</v>
      </c>
      <c r="AH260"/>
      <c r="AI260"/>
    </row>
    <row r="261" spans="2:35">
      <c r="B261" s="182" t="str">
        <f t="shared" si="20"/>
        <v>AVENTOS HKS</v>
      </c>
      <c r="M261" s="133" t="s">
        <v>54</v>
      </c>
      <c r="N261" s="133" t="s">
        <v>54</v>
      </c>
      <c r="O261" s="133" t="s">
        <v>54</v>
      </c>
      <c r="P261" s="133" t="s">
        <v>1257</v>
      </c>
      <c r="Q261" s="133" t="s">
        <v>54</v>
      </c>
      <c r="R261" s="327" t="s">
        <v>54</v>
      </c>
      <c r="AA261" s="325" t="s">
        <v>3765</v>
      </c>
      <c r="AB261" s="178" t="s">
        <v>4523</v>
      </c>
      <c r="AH261"/>
      <c r="AI261"/>
    </row>
    <row r="262" spans="2:35">
      <c r="B262" s="182" t="str">
        <f t="shared" si="20"/>
        <v>AVENTOS HL</v>
      </c>
      <c r="M262" s="133" t="s">
        <v>55</v>
      </c>
      <c r="N262" s="133" t="s">
        <v>55</v>
      </c>
      <c r="O262" s="133" t="s">
        <v>55</v>
      </c>
      <c r="P262" s="133" t="s">
        <v>55</v>
      </c>
      <c r="Q262" s="133" t="s">
        <v>55</v>
      </c>
      <c r="R262" s="327" t="s">
        <v>55</v>
      </c>
      <c r="AA262" s="325" t="s">
        <v>3766</v>
      </c>
      <c r="AB262" s="178" t="s">
        <v>3126</v>
      </c>
      <c r="AH262"/>
      <c r="AI262"/>
    </row>
    <row r="263" spans="2:35">
      <c r="B263" s="182" t="str">
        <f t="shared" si="20"/>
        <v>AVENTOS HS</v>
      </c>
      <c r="M263" s="133" t="s">
        <v>56</v>
      </c>
      <c r="N263" s="133" t="s">
        <v>56</v>
      </c>
      <c r="O263" s="133" t="s">
        <v>56</v>
      </c>
      <c r="P263" s="133" t="s">
        <v>56</v>
      </c>
      <c r="Q263" s="133" t="s">
        <v>56</v>
      </c>
      <c r="R263" s="327" t="s">
        <v>56</v>
      </c>
      <c r="AA263" s="325" t="s">
        <v>3767</v>
      </c>
      <c r="AB263" s="178" t="s">
        <v>3172</v>
      </c>
      <c r="AH263"/>
      <c r="AI263"/>
    </row>
    <row r="264" spans="2:35">
      <c r="B264" s="182" t="str">
        <f t="shared" si="20"/>
        <v>AVENTOS HK-XS</v>
      </c>
      <c r="M264" s="133" t="s">
        <v>568</v>
      </c>
      <c r="N264" s="133" t="s">
        <v>568</v>
      </c>
      <c r="O264" s="133" t="s">
        <v>568</v>
      </c>
      <c r="P264" s="133" t="s">
        <v>568</v>
      </c>
      <c r="Q264" s="133" t="s">
        <v>568</v>
      </c>
      <c r="R264" s="327" t="s">
        <v>568</v>
      </c>
      <c r="AA264" s="325" t="s">
        <v>3768</v>
      </c>
      <c r="AB264" s="209" t="s">
        <v>4530</v>
      </c>
      <c r="AH264"/>
      <c r="AI264"/>
    </row>
    <row r="265" spans="2:35">
      <c r="B265" s="182" t="str">
        <f t="shared" si="20"/>
        <v>AVENTOS HK-XS TIP-ON</v>
      </c>
      <c r="M265" s="133" t="s">
        <v>582</v>
      </c>
      <c r="N265" s="133" t="s">
        <v>582</v>
      </c>
      <c r="O265" s="133" t="s">
        <v>582</v>
      </c>
      <c r="P265" s="133" t="s">
        <v>582</v>
      </c>
      <c r="Q265" s="133" t="s">
        <v>582</v>
      </c>
      <c r="R265" s="327" t="s">
        <v>582</v>
      </c>
      <c r="AA265" s="325" t="s">
        <v>3769</v>
      </c>
      <c r="AB265" s="209" t="s">
        <v>3127</v>
      </c>
      <c r="AH265"/>
      <c r="AI265"/>
    </row>
    <row r="266" spans="2:35">
      <c r="B266" s="182" t="str">
        <f t="shared" si="20"/>
        <v>FGV</v>
      </c>
      <c r="M266" s="133" t="s">
        <v>1</v>
      </c>
      <c r="N266" s="133" t="s">
        <v>1</v>
      </c>
      <c r="O266" s="133" t="s">
        <v>1</v>
      </c>
      <c r="P266" s="133" t="s">
        <v>1</v>
      </c>
      <c r="Q266" s="133" t="s">
        <v>1</v>
      </c>
      <c r="R266" s="327" t="s">
        <v>1</v>
      </c>
      <c r="AA266" s="325" t="s">
        <v>3770</v>
      </c>
      <c r="AB266" s="178" t="s">
        <v>3128</v>
      </c>
    </row>
    <row r="267" spans="2:35">
      <c r="B267" s="182" t="str">
        <f t="shared" si="20"/>
        <v>BLUM</v>
      </c>
      <c r="M267" s="133" t="s">
        <v>2</v>
      </c>
      <c r="N267" s="133" t="s">
        <v>2</v>
      </c>
      <c r="O267" s="133" t="s">
        <v>2</v>
      </c>
      <c r="P267" s="133" t="s">
        <v>2</v>
      </c>
      <c r="Q267" s="133" t="s">
        <v>2</v>
      </c>
      <c r="R267" s="327" t="s">
        <v>2</v>
      </c>
      <c r="AA267" s="325" t="s">
        <v>3771</v>
      </c>
      <c r="AB267" s="178" t="s">
        <v>3129</v>
      </c>
    </row>
    <row r="268" spans="2:35">
      <c r="B268" s="182" t="str">
        <f t="shared" si="20"/>
        <v>STRONG bez tlmení</v>
      </c>
      <c r="M268" s="133" t="s">
        <v>638</v>
      </c>
      <c r="N268" s="133" t="s">
        <v>848</v>
      </c>
      <c r="O268" s="133" t="s">
        <v>849</v>
      </c>
      <c r="P268" s="133" t="s">
        <v>850</v>
      </c>
      <c r="Q268" s="133" t="s">
        <v>1490</v>
      </c>
      <c r="R268" s="325" t="s">
        <v>3905</v>
      </c>
      <c r="AA268" s="325" t="s">
        <v>3772</v>
      </c>
      <c r="AB268" s="209" t="s">
        <v>2568</v>
      </c>
    </row>
    <row r="269" spans="2:35">
      <c r="B269" s="182" t="str">
        <f t="shared" si="20"/>
        <v>HETTICH</v>
      </c>
      <c r="M269" s="133" t="s">
        <v>567</v>
      </c>
      <c r="N269" s="133" t="s">
        <v>567</v>
      </c>
      <c r="O269" s="133" t="s">
        <v>567</v>
      </c>
      <c r="P269" s="133" t="s">
        <v>567</v>
      </c>
      <c r="Q269" s="133" t="s">
        <v>567</v>
      </c>
      <c r="R269" s="327" t="s">
        <v>567</v>
      </c>
      <c r="AA269" s="325" t="s">
        <v>3773</v>
      </c>
      <c r="AB269" s="209" t="s">
        <v>3171</v>
      </c>
    </row>
    <row r="270" spans="2:35">
      <c r="B270" s="182" t="str">
        <f t="shared" si="20"/>
        <v xml:space="preserve">Vyplňte iba vtedy ak nebude vŕtanie symetricky na stred </v>
      </c>
      <c r="M270" s="175" t="s">
        <v>271</v>
      </c>
      <c r="N270" s="133" t="s">
        <v>342</v>
      </c>
      <c r="O270" s="133" t="s">
        <v>346</v>
      </c>
      <c r="P270" s="133" t="s">
        <v>351</v>
      </c>
      <c r="Q270" s="133" t="s">
        <v>1483</v>
      </c>
      <c r="R270" s="325" t="s">
        <v>3891</v>
      </c>
      <c r="AA270" s="325" t="s">
        <v>3774</v>
      </c>
      <c r="AB270" s="209" t="s">
        <v>3130</v>
      </c>
    </row>
    <row r="271" spans="2:35">
      <c r="B271" s="182" t="str">
        <f t="shared" si="20"/>
        <v>Posuvné rámčeky</v>
      </c>
      <c r="M271" s="175" t="s">
        <v>7</v>
      </c>
      <c r="N271" s="133" t="s">
        <v>343</v>
      </c>
      <c r="O271" s="133" t="s">
        <v>506</v>
      </c>
      <c r="P271" s="133" t="s">
        <v>507</v>
      </c>
      <c r="Q271" s="133" t="s">
        <v>913</v>
      </c>
      <c r="R271" s="325" t="s">
        <v>3906</v>
      </c>
      <c r="AA271" s="325" t="s">
        <v>3775</v>
      </c>
      <c r="AB271" s="209" t="s">
        <v>3131</v>
      </c>
    </row>
    <row r="272" spans="2:35">
      <c r="B272" s="182" t="str">
        <f t="shared" si="20"/>
        <v>Štandardne je objednávka dodaná vrátane kovania a vodiacich profilov</v>
      </c>
      <c r="M272" s="175" t="s">
        <v>148</v>
      </c>
      <c r="N272" s="133" t="s">
        <v>336</v>
      </c>
      <c r="O272" s="133" t="s">
        <v>374</v>
      </c>
      <c r="P272" s="133" t="s">
        <v>1258</v>
      </c>
      <c r="Q272" s="133" t="s">
        <v>1491</v>
      </c>
      <c r="R272" s="325" t="s">
        <v>3907</v>
      </c>
      <c r="AA272" s="325" t="s">
        <v>3776</v>
      </c>
      <c r="AB272" s="209" t="s">
        <v>3132</v>
      </c>
    </row>
    <row r="273" spans="2:28">
      <c r="B273" s="182" t="str">
        <f t="shared" si="20"/>
        <v>Vnútorný rozmer skrinky (mm)</v>
      </c>
      <c r="M273" s="175" t="s">
        <v>339</v>
      </c>
      <c r="N273" s="133" t="s">
        <v>337</v>
      </c>
      <c r="O273" s="133" t="s">
        <v>347</v>
      </c>
      <c r="P273" s="133" t="s">
        <v>352</v>
      </c>
      <c r="Q273" s="133" t="s">
        <v>1363</v>
      </c>
      <c r="R273" s="325" t="s">
        <v>3908</v>
      </c>
      <c r="AA273" s="325" t="s">
        <v>3777</v>
      </c>
      <c r="AB273" s="209" t="s">
        <v>3133</v>
      </c>
    </row>
    <row r="274" spans="2:28">
      <c r="B274" s="182" t="str">
        <f t="shared" si="20"/>
        <v>Počet dvierok</v>
      </c>
      <c r="M274" s="175" t="s">
        <v>147</v>
      </c>
      <c r="N274" s="133" t="s">
        <v>338</v>
      </c>
      <c r="O274" s="133" t="s">
        <v>1307</v>
      </c>
      <c r="P274" s="133" t="s">
        <v>353</v>
      </c>
      <c r="Q274" s="133" t="s">
        <v>914</v>
      </c>
      <c r="R274" s="325" t="s">
        <v>3909</v>
      </c>
      <c r="AA274" s="325" t="s">
        <v>3778</v>
      </c>
      <c r="AB274" s="209" t="s">
        <v>3134</v>
      </c>
    </row>
    <row r="275" spans="2:28">
      <c r="B275" s="182" t="str">
        <f t="shared" si="20"/>
        <v>Tu sú uvedené štandardné presahy dvierok</v>
      </c>
      <c r="M275" s="175" t="s">
        <v>461</v>
      </c>
      <c r="N275" s="155" t="s">
        <v>340</v>
      </c>
      <c r="O275" s="133" t="s">
        <v>462</v>
      </c>
      <c r="P275" s="133" t="s">
        <v>1259</v>
      </c>
      <c r="Q275" s="133" t="s">
        <v>1364</v>
      </c>
      <c r="R275" s="325" t="s">
        <v>3910</v>
      </c>
      <c r="AA275" s="325" t="s">
        <v>3779</v>
      </c>
      <c r="AB275" s="185" t="s">
        <v>3135</v>
      </c>
    </row>
    <row r="276" spans="2:28">
      <c r="B276" s="182" t="str">
        <f t="shared" si="20"/>
        <v>farba</v>
      </c>
      <c r="M276" s="175" t="s">
        <v>126</v>
      </c>
      <c r="N276" s="133" t="s">
        <v>341</v>
      </c>
      <c r="O276" s="133" t="s">
        <v>348</v>
      </c>
      <c r="P276" s="133" t="s">
        <v>354</v>
      </c>
      <c r="Q276" s="133" t="s">
        <v>1365</v>
      </c>
      <c r="R276" s="325" t="s">
        <v>3911</v>
      </c>
      <c r="AA276" s="325" t="s">
        <v>3780</v>
      </c>
      <c r="AB276" s="185" t="s">
        <v>3136</v>
      </c>
    </row>
    <row r="277" spans="2:28">
      <c r="B277" s="182" t="str">
        <f t="shared" si="20"/>
        <v>Objednávka ALU</v>
      </c>
      <c r="M277" s="175" t="s">
        <v>334</v>
      </c>
      <c r="N277" s="133" t="s">
        <v>334</v>
      </c>
      <c r="O277" s="133" t="s">
        <v>349</v>
      </c>
      <c r="P277" s="133" t="s">
        <v>355</v>
      </c>
      <c r="Q277" s="133" t="s">
        <v>1366</v>
      </c>
      <c r="R277" s="325" t="s">
        <v>3912</v>
      </c>
      <c r="AA277" s="325" t="s">
        <v>3781</v>
      </c>
      <c r="AB277" s="185" t="s">
        <v>3137</v>
      </c>
    </row>
    <row r="278" spans="2:28">
      <c r="B278" s="182" t="str">
        <f t="shared" si="20"/>
        <v>Posuvné rámčeky</v>
      </c>
      <c r="M278" s="175" t="s">
        <v>7</v>
      </c>
      <c r="N278" s="133" t="s">
        <v>343</v>
      </c>
      <c r="O278" s="133" t="s">
        <v>506</v>
      </c>
      <c r="P278" s="133" t="s">
        <v>507</v>
      </c>
      <c r="Q278" s="133" t="s">
        <v>913</v>
      </c>
      <c r="R278" s="325" t="s">
        <v>3906</v>
      </c>
      <c r="AA278" s="325" t="s">
        <v>3782</v>
      </c>
      <c r="AB278" s="185" t="s">
        <v>2599</v>
      </c>
    </row>
    <row r="279" spans="2:28">
      <c r="B279" s="182" t="str">
        <f t="shared" si="20"/>
        <v>Farby LACOBEL A MATELAC</v>
      </c>
      <c r="M279" s="175" t="s">
        <v>335</v>
      </c>
      <c r="N279" s="133" t="s">
        <v>344</v>
      </c>
      <c r="O279" s="133" t="s">
        <v>350</v>
      </c>
      <c r="P279" s="133" t="s">
        <v>356</v>
      </c>
      <c r="Q279" s="133" t="s">
        <v>1492</v>
      </c>
      <c r="R279" s="325" t="s">
        <v>3913</v>
      </c>
      <c r="AA279" s="325" t="s">
        <v>3783</v>
      </c>
      <c r="AB279" s="185" t="s">
        <v>3138</v>
      </c>
    </row>
    <row r="280" spans="2:28">
      <c r="B280" s="182" t="str">
        <f t="shared" si="20"/>
        <v>20L3200</v>
      </c>
      <c r="M280" s="201" t="s">
        <v>357</v>
      </c>
      <c r="N280" s="201" t="s">
        <v>357</v>
      </c>
      <c r="O280" s="133" t="s">
        <v>357</v>
      </c>
      <c r="P280" s="133" t="s">
        <v>357</v>
      </c>
      <c r="Q280" s="133" t="s">
        <v>357</v>
      </c>
      <c r="R280" s="328" t="s">
        <v>357</v>
      </c>
      <c r="AA280" s="325" t="s">
        <v>3784</v>
      </c>
      <c r="AB280" s="185" t="s">
        <v>3173</v>
      </c>
    </row>
    <row r="281" spans="2:28">
      <c r="B281" s="182" t="str">
        <f t="shared" si="20"/>
        <v>20L3500</v>
      </c>
      <c r="M281" s="201" t="s">
        <v>358</v>
      </c>
      <c r="N281" s="201" t="s">
        <v>358</v>
      </c>
      <c r="O281" s="133" t="s">
        <v>358</v>
      </c>
      <c r="P281" s="133" t="s">
        <v>358</v>
      </c>
      <c r="Q281" s="133" t="s">
        <v>358</v>
      </c>
      <c r="R281" s="328" t="s">
        <v>358</v>
      </c>
      <c r="AA281" s="325" t="s">
        <v>3788</v>
      </c>
      <c r="AB281" s="185" t="s">
        <v>2396</v>
      </c>
    </row>
    <row r="282" spans="2:28">
      <c r="B282" s="182" t="str">
        <f t="shared" si="20"/>
        <v>20L3800</v>
      </c>
      <c r="M282" s="201" t="s">
        <v>359</v>
      </c>
      <c r="N282" s="201" t="s">
        <v>359</v>
      </c>
      <c r="O282" s="133" t="s">
        <v>359</v>
      </c>
      <c r="P282" s="133" t="s">
        <v>359</v>
      </c>
      <c r="Q282" s="133" t="s">
        <v>359</v>
      </c>
      <c r="R282" s="328" t="s">
        <v>359</v>
      </c>
      <c r="AA282" s="325" t="s">
        <v>3789</v>
      </c>
      <c r="AB282" s="185" t="s">
        <v>1235</v>
      </c>
    </row>
    <row r="283" spans="2:28">
      <c r="B283" s="182" t="str">
        <f t="shared" si="20"/>
        <v>20L3900</v>
      </c>
      <c r="M283" s="201" t="s">
        <v>360</v>
      </c>
      <c r="N283" s="201" t="s">
        <v>360</v>
      </c>
      <c r="O283" s="133" t="s">
        <v>360</v>
      </c>
      <c r="P283" s="133" t="s">
        <v>360</v>
      </c>
      <c r="Q283" s="133" t="s">
        <v>360</v>
      </c>
      <c r="R283" s="328" t="s">
        <v>360</v>
      </c>
      <c r="AA283" s="178" t="s">
        <v>4464</v>
      </c>
      <c r="AB283" s="178" t="s">
        <v>4487</v>
      </c>
    </row>
    <row r="284" spans="2:28">
      <c r="B284" s="182" t="str">
        <f t="shared" si="20"/>
        <v>Typ ramena</v>
      </c>
      <c r="M284" s="201" t="s">
        <v>361</v>
      </c>
      <c r="N284" s="201" t="s">
        <v>364</v>
      </c>
      <c r="O284" s="133" t="s">
        <v>365</v>
      </c>
      <c r="P284" s="133" t="s">
        <v>366</v>
      </c>
      <c r="Q284" s="133" t="s">
        <v>1493</v>
      </c>
      <c r="R284" s="325" t="s">
        <v>3914</v>
      </c>
      <c r="AA284" s="209" t="s">
        <v>4470</v>
      </c>
      <c r="AB284" s="209" t="s">
        <v>4488</v>
      </c>
    </row>
    <row r="285" spans="2:28">
      <c r="B285" s="182" t="str">
        <f t="shared" si="20"/>
        <v>Hmotnosť úchytky (g)</v>
      </c>
      <c r="M285" s="201" t="s">
        <v>362</v>
      </c>
      <c r="N285" s="201" t="s">
        <v>367</v>
      </c>
      <c r="O285" s="133" t="s">
        <v>368</v>
      </c>
      <c r="P285" s="133" t="s">
        <v>369</v>
      </c>
      <c r="Q285" s="133" t="s">
        <v>915</v>
      </c>
      <c r="R285" s="325" t="s">
        <v>3915</v>
      </c>
      <c r="AA285" s="179" t="s">
        <v>4493</v>
      </c>
      <c r="AB285" s="178" t="s">
        <v>4498</v>
      </c>
    </row>
    <row r="286" spans="2:28">
      <c r="B286" s="182" t="str">
        <f t="shared" si="20"/>
        <v>Typy profilov</v>
      </c>
      <c r="M286" s="201" t="s">
        <v>363</v>
      </c>
      <c r="N286" s="133" t="s">
        <v>370</v>
      </c>
      <c r="O286" s="133" t="s">
        <v>371</v>
      </c>
      <c r="P286" s="133" t="s">
        <v>372</v>
      </c>
      <c r="Q286" s="133" t="s">
        <v>1494</v>
      </c>
      <c r="R286" s="325" t="s">
        <v>3916</v>
      </c>
      <c r="AA286" s="178" t="s">
        <v>4475</v>
      </c>
      <c r="AB286" s="178" t="s">
        <v>4489</v>
      </c>
    </row>
    <row r="287" spans="2:28">
      <c r="B287" s="182" t="str">
        <f t="shared" si="20"/>
        <v>AVENTOS HF Servo Drive</v>
      </c>
      <c r="M287" s="175" t="s">
        <v>409</v>
      </c>
      <c r="N287" s="175" t="s">
        <v>409</v>
      </c>
      <c r="O287" s="133" t="s">
        <v>409</v>
      </c>
      <c r="P287" s="133" t="s">
        <v>409</v>
      </c>
      <c r="Q287" s="133" t="s">
        <v>409</v>
      </c>
      <c r="R287" s="326" t="s">
        <v>409</v>
      </c>
      <c r="AA287" s="178" t="s">
        <v>4481</v>
      </c>
      <c r="AB287" s="178" t="s">
        <v>4490</v>
      </c>
    </row>
    <row r="288" spans="2:28">
      <c r="B288" s="182" t="str">
        <f t="shared" si="20"/>
        <v>AVENTOS HK TOP TIP ON</v>
      </c>
      <c r="M288" s="175" t="s">
        <v>888</v>
      </c>
      <c r="N288" s="175" t="s">
        <v>888</v>
      </c>
      <c r="O288" s="133" t="s">
        <v>888</v>
      </c>
      <c r="P288" s="133" t="s">
        <v>888</v>
      </c>
      <c r="Q288" s="133" t="s">
        <v>888</v>
      </c>
      <c r="R288" s="326" t="s">
        <v>888</v>
      </c>
      <c r="AA288" s="178" t="s">
        <v>4465</v>
      </c>
      <c r="AB288" s="178" t="s">
        <v>4487</v>
      </c>
    </row>
    <row r="289" spans="2:28">
      <c r="B289" s="182" t="str">
        <f t="shared" si="20"/>
        <v>AVENTOS HKS TIP ON</v>
      </c>
      <c r="M289" s="175" t="s">
        <v>410</v>
      </c>
      <c r="N289" s="175" t="s">
        <v>410</v>
      </c>
      <c r="O289" s="133" t="s">
        <v>410</v>
      </c>
      <c r="P289" s="133" t="s">
        <v>1260</v>
      </c>
      <c r="Q289" s="133" t="s">
        <v>410</v>
      </c>
      <c r="R289" s="326" t="s">
        <v>410</v>
      </c>
      <c r="AA289" s="178" t="s">
        <v>4471</v>
      </c>
      <c r="AB289" s="209" t="s">
        <v>4488</v>
      </c>
    </row>
    <row r="290" spans="2:28">
      <c r="B290" s="182" t="str">
        <f t="shared" si="20"/>
        <v>AVENTOS HK TOP Servo Drive</v>
      </c>
      <c r="M290" s="175" t="s">
        <v>887</v>
      </c>
      <c r="N290" s="175" t="s">
        <v>887</v>
      </c>
      <c r="O290" s="133" t="s">
        <v>887</v>
      </c>
      <c r="P290" s="133" t="s">
        <v>887</v>
      </c>
      <c r="Q290" s="133" t="s">
        <v>887</v>
      </c>
      <c r="R290" s="326" t="s">
        <v>887</v>
      </c>
      <c r="AA290" s="179" t="s">
        <v>4494</v>
      </c>
      <c r="AB290" s="178" t="s">
        <v>4498</v>
      </c>
    </row>
    <row r="291" spans="2:28">
      <c r="B291" s="182" t="str">
        <f t="shared" si="20"/>
        <v>AVENTOS HL Servo Drive</v>
      </c>
      <c r="M291" s="175" t="s">
        <v>411</v>
      </c>
      <c r="N291" s="175" t="s">
        <v>411</v>
      </c>
      <c r="O291" s="133" t="s">
        <v>411</v>
      </c>
      <c r="P291" s="133" t="s">
        <v>411</v>
      </c>
      <c r="Q291" s="133" t="s">
        <v>411</v>
      </c>
      <c r="R291" s="326" t="s">
        <v>411</v>
      </c>
      <c r="AA291" s="178" t="s">
        <v>4477</v>
      </c>
      <c r="AB291" s="178" t="s">
        <v>4489</v>
      </c>
    </row>
    <row r="292" spans="2:28">
      <c r="B292" s="182" t="str">
        <f t="shared" si="20"/>
        <v>AVENTOS HS Servo Drive</v>
      </c>
      <c r="M292" s="175" t="s">
        <v>412</v>
      </c>
      <c r="N292" s="175" t="s">
        <v>412</v>
      </c>
      <c r="O292" s="133" t="s">
        <v>412</v>
      </c>
      <c r="P292" s="133" t="s">
        <v>412</v>
      </c>
      <c r="Q292" s="133" t="s">
        <v>412</v>
      </c>
      <c r="R292" s="326" t="s">
        <v>412</v>
      </c>
      <c r="AA292" s="178" t="s">
        <v>4482</v>
      </c>
      <c r="AB292" s="178" t="s">
        <v>4490</v>
      </c>
    </row>
    <row r="293" spans="2:28">
      <c r="B293" s="182" t="str">
        <f t="shared" si="20"/>
        <v>spodné</v>
      </c>
      <c r="M293" s="175" t="s">
        <v>414</v>
      </c>
      <c r="N293" s="133" t="s">
        <v>426</v>
      </c>
      <c r="O293" s="133" t="s">
        <v>427</v>
      </c>
      <c r="P293" s="133" t="s">
        <v>428</v>
      </c>
      <c r="Q293" s="133" t="s">
        <v>1367</v>
      </c>
      <c r="R293" s="325" t="s">
        <v>3917</v>
      </c>
      <c r="AA293" s="178" t="s">
        <v>4466</v>
      </c>
      <c r="AB293" s="178" t="s">
        <v>4487</v>
      </c>
    </row>
    <row r="294" spans="2:28">
      <c r="B294" s="182" t="str">
        <f t="shared" si="20"/>
        <v>Minimálna vzdialenosť umiestenia závesov</v>
      </c>
      <c r="M294" s="201" t="s">
        <v>430</v>
      </c>
      <c r="N294" s="133" t="s">
        <v>473</v>
      </c>
      <c r="O294" s="133" t="s">
        <v>483</v>
      </c>
      <c r="P294" s="133" t="s">
        <v>484</v>
      </c>
      <c r="Q294" s="133" t="s">
        <v>1495</v>
      </c>
      <c r="R294" s="325" t="s">
        <v>3918</v>
      </c>
      <c r="AA294" s="209" t="s">
        <v>4472</v>
      </c>
      <c r="AB294" s="209" t="s">
        <v>4488</v>
      </c>
    </row>
    <row r="295" spans="2:28">
      <c r="B295" s="182" t="str">
        <f t="shared" si="20"/>
        <v>Naložený s integr. blumotionom</v>
      </c>
      <c r="M295" s="175" t="s">
        <v>431</v>
      </c>
      <c r="N295" s="133" t="s">
        <v>474</v>
      </c>
      <c r="O295" s="133" t="s">
        <v>1308</v>
      </c>
      <c r="P295" s="133" t="s">
        <v>485</v>
      </c>
      <c r="Q295" s="133" t="s">
        <v>1496</v>
      </c>
      <c r="R295" s="325" t="s">
        <v>3919</v>
      </c>
      <c r="AA295" s="178" t="s">
        <v>4499</v>
      </c>
      <c r="AB295" s="178" t="s">
        <v>4498</v>
      </c>
    </row>
    <row r="296" spans="2:28">
      <c r="B296" s="182" t="str">
        <f t="shared" si="20"/>
        <v>Štandardné vŕtanie otvorov pre závesy u všetkých typov kovania Aventos HF, je 100 mm od kraje.</v>
      </c>
      <c r="M296" s="199" t="s">
        <v>466</v>
      </c>
      <c r="N296" s="133" t="s">
        <v>475</v>
      </c>
      <c r="O296" s="133" t="s">
        <v>879</v>
      </c>
      <c r="P296" s="133" t="s">
        <v>1261</v>
      </c>
      <c r="Q296" s="133" t="s">
        <v>1368</v>
      </c>
      <c r="R296" s="325" t="s">
        <v>3920</v>
      </c>
      <c r="AA296" s="178" t="s">
        <v>4476</v>
      </c>
      <c r="AB296" s="178" t="s">
        <v>4489</v>
      </c>
    </row>
    <row r="297" spans="2:28">
      <c r="B297" s="182" t="str">
        <f t="shared" si="20"/>
        <v>Štandardný priemer otvorov pre úchytky je v skle 7 mm a v rámčeku 5 mm (distančné podložky sú súčasťoubalenia).</v>
      </c>
      <c r="M297" s="175" t="s">
        <v>435</v>
      </c>
      <c r="N297" s="133" t="s">
        <v>476</v>
      </c>
      <c r="O297" s="133" t="s">
        <v>486</v>
      </c>
      <c r="P297" s="133" t="s">
        <v>487</v>
      </c>
      <c r="Q297" s="133" t="s">
        <v>1369</v>
      </c>
      <c r="R297" s="325" t="s">
        <v>3921</v>
      </c>
      <c r="AA297" s="178" t="s">
        <v>4483</v>
      </c>
      <c r="AB297" s="178" t="s">
        <v>4490</v>
      </c>
    </row>
    <row r="298" spans="2:28">
      <c r="B298" s="182" t="str">
        <f t="shared" ref="B298:B361" si="21">IF($D$1=1,M298,IF($D$1=2,N298,IF($D$1=3,O298,IF($D$1=4,P298,IF($D$1=5,Q298,IF($D$1=6,R298,0))))))</f>
        <v xml:space="preserve">Ak je vaša požiadavka iná ako je uvedené vyššie, uveďte ho do poznámky. </v>
      </c>
      <c r="M298" s="175" t="s">
        <v>436</v>
      </c>
      <c r="N298" s="133" t="s">
        <v>477</v>
      </c>
      <c r="O298" s="133" t="s">
        <v>488</v>
      </c>
      <c r="P298" s="133" t="s">
        <v>489</v>
      </c>
      <c r="Q298" s="133" t="s">
        <v>1370</v>
      </c>
      <c r="R298" s="325" t="s">
        <v>3922</v>
      </c>
      <c r="AA298" s="178" t="s">
        <v>4467</v>
      </c>
      <c r="AB298" s="178" t="s">
        <v>4487</v>
      </c>
    </row>
    <row r="299" spans="2:28">
      <c r="B299" s="182" t="str">
        <f t="shared" si="21"/>
        <v>U určitých typov úchytiek sú závity pre skrutky zapustené a je nutné použiť vhodné distančné podložky.</v>
      </c>
      <c r="M299" s="175" t="s">
        <v>440</v>
      </c>
      <c r="N299" s="133" t="s">
        <v>478</v>
      </c>
      <c r="O299" s="133" t="s">
        <v>1309</v>
      </c>
      <c r="P299" s="133" t="s">
        <v>873</v>
      </c>
      <c r="Q299" s="133" t="s">
        <v>1497</v>
      </c>
      <c r="R299" s="325" t="s">
        <v>3923</v>
      </c>
      <c r="AA299" s="178" t="s">
        <v>4473</v>
      </c>
      <c r="AB299" s="209" t="s">
        <v>4488</v>
      </c>
    </row>
    <row r="300" spans="2:28">
      <c r="B300" s="182" t="str">
        <f t="shared" si="21"/>
        <v>Reklamácie spojené s poškodením nie je možné uplatniť, pokiaľ bol rámček už namontovaný.</v>
      </c>
      <c r="M300" s="175" t="s">
        <v>437</v>
      </c>
      <c r="N300" s="133" t="s">
        <v>479</v>
      </c>
      <c r="O300" s="133" t="s">
        <v>3566</v>
      </c>
      <c r="P300" s="133" t="s">
        <v>490</v>
      </c>
      <c r="Q300" s="133" t="s">
        <v>1498</v>
      </c>
      <c r="R300" s="325" t="s">
        <v>3924</v>
      </c>
      <c r="AA300" s="179" t="s">
        <v>4495</v>
      </c>
      <c r="AB300" s="178" t="s">
        <v>4498</v>
      </c>
    </row>
    <row r="301" spans="2:28">
      <c r="B301" s="182" t="str">
        <f t="shared" si="21"/>
        <v xml:space="preserve">Pre pripevnenie kovania do ALU rámčeka, je nutné používať skrutky pre toto určené (napr. kód 13681). </v>
      </c>
      <c r="M301" s="175" t="s">
        <v>438</v>
      </c>
      <c r="N301" s="133" t="s">
        <v>480</v>
      </c>
      <c r="O301" s="133" t="s">
        <v>880</v>
      </c>
      <c r="P301" s="133" t="s">
        <v>491</v>
      </c>
      <c r="Q301" s="133" t="s">
        <v>1499</v>
      </c>
      <c r="R301" s="325" t="s">
        <v>3925</v>
      </c>
      <c r="AA301" s="178" t="s">
        <v>4478</v>
      </c>
      <c r="AB301" s="178" t="s">
        <v>4489</v>
      </c>
    </row>
    <row r="302" spans="2:28">
      <c r="B302" s="182" t="str">
        <f t="shared" si="21"/>
        <v>Vždy používajte aktuálnu verziu formuláru, ktorý je dostupný na našich stránkach.</v>
      </c>
      <c r="M302" s="175" t="s">
        <v>2650</v>
      </c>
      <c r="N302" s="133" t="s">
        <v>481</v>
      </c>
      <c r="O302" s="133" t="s">
        <v>3561</v>
      </c>
      <c r="P302" s="133" t="s">
        <v>1262</v>
      </c>
      <c r="Q302" s="133" t="s">
        <v>1500</v>
      </c>
      <c r="R302" s="325" t="s">
        <v>3926</v>
      </c>
      <c r="AA302" s="178" t="s">
        <v>4484</v>
      </c>
      <c r="AB302" s="178" t="s">
        <v>4490</v>
      </c>
    </row>
    <row r="303" spans="2:28">
      <c r="B303" s="182" t="str">
        <f t="shared" si="21"/>
        <v>Medzera medzi predely musí byť aspoň 100 mm.</v>
      </c>
      <c r="M303" s="175" t="s">
        <v>1203</v>
      </c>
      <c r="N303" s="133" t="s">
        <v>1205</v>
      </c>
      <c r="O303" s="133" t="s">
        <v>1310</v>
      </c>
      <c r="P303" s="133" t="s">
        <v>1204</v>
      </c>
      <c r="Q303" s="133" t="s">
        <v>1501</v>
      </c>
      <c r="R303" s="325" t="s">
        <v>3927</v>
      </c>
      <c r="AA303" s="209" t="s">
        <v>4468</v>
      </c>
      <c r="AB303" s="178" t="s">
        <v>4487</v>
      </c>
    </row>
    <row r="304" spans="2:28">
      <c r="B304" s="182" t="str">
        <f t="shared" si="21"/>
        <v xml:space="preserve">Objednávka môže obsahovať aj viac typov (rozmerov) rámčekov naraz, pričom sa takáto objednávka berie ako platná. Preto doporučujeme pred odoslaním skontrolovať formulár, či obsahuje iba vami požadované rámčeky.     </v>
      </c>
      <c r="M304" s="175" t="s">
        <v>439</v>
      </c>
      <c r="N304" s="133" t="s">
        <v>492</v>
      </c>
      <c r="O304" s="133" t="s">
        <v>881</v>
      </c>
      <c r="P304" s="133" t="s">
        <v>493</v>
      </c>
      <c r="Q304" s="133" t="s">
        <v>1502</v>
      </c>
      <c r="R304" s="325" t="s">
        <v>3928</v>
      </c>
      <c r="AA304" s="209" t="s">
        <v>4474</v>
      </c>
      <c r="AB304" s="209" t="s">
        <v>4488</v>
      </c>
    </row>
    <row r="305" spans="2:28">
      <c r="B305" s="182" t="str">
        <f t="shared" si="21"/>
        <v>Formulár obsahuje niekoľko listov, medzi ktorými je možné sa prepínať v spodnej časti.</v>
      </c>
      <c r="M305" s="175" t="s">
        <v>441</v>
      </c>
      <c r="N305" s="133" t="s">
        <v>494</v>
      </c>
      <c r="O305" s="133" t="s">
        <v>495</v>
      </c>
      <c r="P305" s="133" t="s">
        <v>496</v>
      </c>
      <c r="Q305" s="133" t="s">
        <v>1503</v>
      </c>
      <c r="R305" s="325" t="s">
        <v>3929</v>
      </c>
      <c r="AA305" s="209" t="s">
        <v>4496</v>
      </c>
      <c r="AB305" s="178" t="s">
        <v>4498</v>
      </c>
    </row>
    <row r="306" spans="2:28">
      <c r="B306" s="182" t="str">
        <f t="shared" si="21"/>
        <v xml:space="preserve">Vyplňte prosím vaše kontaktné údaje a následne kliknite na požadované políčko nižšie. </v>
      </c>
      <c r="M306" s="175" t="s">
        <v>550</v>
      </c>
      <c r="N306" s="133" t="s">
        <v>497</v>
      </c>
      <c r="O306" s="133" t="s">
        <v>498</v>
      </c>
      <c r="P306" s="133" t="s">
        <v>499</v>
      </c>
      <c r="Q306" s="133" t="s">
        <v>1371</v>
      </c>
      <c r="R306" s="325" t="s">
        <v>3930</v>
      </c>
      <c r="AA306" s="209" t="s">
        <v>4479</v>
      </c>
      <c r="AB306" s="178" t="s">
        <v>4489</v>
      </c>
    </row>
    <row r="307" spans="2:28">
      <c r="B307" s="182" t="str">
        <f t="shared" si="21"/>
        <v>Vyplnením kontaktných údajov vyjadrujete súčasne súhlas, že ste sa zoznámil s informáciami uvedenými nižšie!</v>
      </c>
      <c r="M307" s="175" t="s">
        <v>464</v>
      </c>
      <c r="N307" s="133" t="s">
        <v>500</v>
      </c>
      <c r="O307" s="133" t="s">
        <v>501</v>
      </c>
      <c r="P307" s="133" t="s">
        <v>502</v>
      </c>
      <c r="Q307" s="133" t="s">
        <v>1504</v>
      </c>
      <c r="R307" s="325" t="s">
        <v>3931</v>
      </c>
      <c r="AA307" s="209" t="s">
        <v>4485</v>
      </c>
      <c r="AB307" s="178" t="s">
        <v>4490</v>
      </c>
    </row>
    <row r="308" spans="2:28">
      <c r="B308" s="182" t="str">
        <f t="shared" si="21"/>
        <v>Bežné rámčeky</v>
      </c>
      <c r="M308" s="175" t="s">
        <v>442</v>
      </c>
      <c r="N308" s="133" t="s">
        <v>503</v>
      </c>
      <c r="O308" s="133" t="s">
        <v>504</v>
      </c>
      <c r="P308" s="133" t="s">
        <v>505</v>
      </c>
      <c r="Q308" s="133" t="s">
        <v>1406</v>
      </c>
      <c r="R308" s="325" t="s">
        <v>3932</v>
      </c>
      <c r="AA308" s="325" t="s">
        <v>4469</v>
      </c>
      <c r="AB308" s="178" t="s">
        <v>4487</v>
      </c>
    </row>
    <row r="309" spans="2:28">
      <c r="B309" s="182" t="str">
        <f t="shared" si="21"/>
        <v>Posuvné rámčeky</v>
      </c>
      <c r="M309" s="175" t="s">
        <v>7</v>
      </c>
      <c r="N309" s="133" t="s">
        <v>343</v>
      </c>
      <c r="O309" s="133" t="s">
        <v>506</v>
      </c>
      <c r="P309" s="133" t="s">
        <v>507</v>
      </c>
      <c r="Q309" s="133" t="s">
        <v>913</v>
      </c>
      <c r="R309" s="325" t="s">
        <v>3906</v>
      </c>
      <c r="AA309" s="325" t="s">
        <v>4491</v>
      </c>
      <c r="AB309" s="209" t="s">
        <v>4488</v>
      </c>
    </row>
    <row r="310" spans="2:28">
      <c r="B310" s="182" t="str">
        <f t="shared" si="21"/>
        <v>Nákresy profilov a spoj. kovania</v>
      </c>
      <c r="M310" s="175" t="s">
        <v>443</v>
      </c>
      <c r="N310" s="133" t="s">
        <v>2554</v>
      </c>
      <c r="O310" s="133" t="s">
        <v>508</v>
      </c>
      <c r="P310" s="133" t="s">
        <v>509</v>
      </c>
      <c r="Q310" s="133" t="s">
        <v>1505</v>
      </c>
      <c r="R310" s="325" t="s">
        <v>3933</v>
      </c>
      <c r="AA310" s="325" t="s">
        <v>4497</v>
      </c>
      <c r="AB310" s="178" t="s">
        <v>4498</v>
      </c>
    </row>
    <row r="311" spans="2:28">
      <c r="B311" s="182" t="str">
        <f t="shared" si="21"/>
        <v>Maximálny doporučený rozmer rámčeka je 2500 x 1250 mm (v prípade rámčekov s nalepeným sklom, napr. Corleone 1500 x 600 mm)</v>
      </c>
      <c r="M311" s="175" t="s">
        <v>3140</v>
      </c>
      <c r="N311" s="133" t="s">
        <v>3141</v>
      </c>
      <c r="O311" s="133" t="s">
        <v>3142</v>
      </c>
      <c r="P311" s="133" t="s">
        <v>3143</v>
      </c>
      <c r="Q311" s="133" t="s">
        <v>3144</v>
      </c>
      <c r="R311" s="325" t="s">
        <v>3934</v>
      </c>
      <c r="AA311" s="325" t="s">
        <v>4480</v>
      </c>
      <c r="AB311" s="178" t="s">
        <v>4489</v>
      </c>
    </row>
    <row r="312" spans="2:28">
      <c r="B312" s="182" t="str">
        <f t="shared" si="21"/>
        <v xml:space="preserve">Na požiadavku zákazníka, je možné dodať rámčeky s maximálnou dĺžkou profilu 3m. Maximálny rozmer skla je v tomto prípade 2500 x 1300 mm. </v>
      </c>
      <c r="M312" s="175" t="s">
        <v>551</v>
      </c>
      <c r="N312" s="133" t="s">
        <v>510</v>
      </c>
      <c r="O312" s="133" t="s">
        <v>1311</v>
      </c>
      <c r="P312" s="133" t="s">
        <v>511</v>
      </c>
      <c r="Q312" s="133" t="s">
        <v>1372</v>
      </c>
      <c r="R312" s="325" t="s">
        <v>3935</v>
      </c>
      <c r="AA312" s="325" t="s">
        <v>4486</v>
      </c>
      <c r="AB312" s="178" t="s">
        <v>4490</v>
      </c>
    </row>
    <row r="313" spans="2:28">
      <c r="B313" s="182" t="str">
        <f t="shared" si="21"/>
        <v>Všetky sklá Lacobel a Matelac je možné podlepiť bezpečnostnou fóliou (v prípade potreby uveďte do poznámky)</v>
      </c>
      <c r="M313" s="175" t="s">
        <v>444</v>
      </c>
      <c r="N313" s="133" t="s">
        <v>512</v>
      </c>
      <c r="O313" s="133" t="s">
        <v>1312</v>
      </c>
      <c r="P313" s="133" t="s">
        <v>1263</v>
      </c>
      <c r="Q313" s="133" t="s">
        <v>1373</v>
      </c>
      <c r="R313" s="325" t="s">
        <v>3936</v>
      </c>
    </row>
    <row r="314" spans="2:28">
      <c r="B314" s="182" t="str">
        <f t="shared" si="21"/>
        <v xml:space="preserve">Vyplnenú objednávku zašlite na adresu </v>
      </c>
      <c r="M314" s="175" t="s">
        <v>445</v>
      </c>
      <c r="N314" s="133" t="s">
        <v>513</v>
      </c>
      <c r="O314" s="133" t="s">
        <v>3565</v>
      </c>
      <c r="P314" s="133" t="s">
        <v>514</v>
      </c>
      <c r="Q314" s="133" t="s">
        <v>1374</v>
      </c>
      <c r="R314" s="325" t="s">
        <v>3937</v>
      </c>
    </row>
    <row r="315" spans="2:28">
      <c r="B315" s="182" t="str">
        <f t="shared" si="21"/>
        <v>objednavkySK@demos-trade.com</v>
      </c>
      <c r="M315" s="202" t="s">
        <v>448</v>
      </c>
      <c r="N315" s="133" t="s">
        <v>3194</v>
      </c>
      <c r="O315" s="133" t="s">
        <v>446</v>
      </c>
      <c r="P315" s="133" t="s">
        <v>447</v>
      </c>
      <c r="Q315" s="133" t="s">
        <v>1375</v>
      </c>
      <c r="R315" s="133" t="s">
        <v>917</v>
      </c>
    </row>
    <row r="316" spans="2:28">
      <c r="B316" s="182" t="str">
        <f t="shared" si="21"/>
        <v>Nákresy profilov</v>
      </c>
      <c r="M316" s="175" t="s">
        <v>449</v>
      </c>
      <c r="N316" s="133" t="s">
        <v>515</v>
      </c>
      <c r="O316" s="133" t="s">
        <v>516</v>
      </c>
      <c r="P316" s="133" t="s">
        <v>517</v>
      </c>
      <c r="Q316" s="133" t="s">
        <v>918</v>
      </c>
      <c r="R316" s="325" t="s">
        <v>3938</v>
      </c>
    </row>
    <row r="317" spans="2:28">
      <c r="B317" s="182" t="str">
        <f t="shared" si="21"/>
        <v>Sada kovania na úzky rámček H27AL (88630)</v>
      </c>
      <c r="M317" s="175" t="s">
        <v>450</v>
      </c>
      <c r="N317" s="133" t="s">
        <v>518</v>
      </c>
      <c r="O317" s="133" t="s">
        <v>519</v>
      </c>
      <c r="P317" s="133" t="s">
        <v>520</v>
      </c>
      <c r="Q317" s="133" t="s">
        <v>1376</v>
      </c>
      <c r="R317" s="325" t="s">
        <v>3939</v>
      </c>
    </row>
    <row r="318" spans="2:28">
      <c r="B318" s="182" t="str">
        <f t="shared" si="21"/>
        <v>Sada kovania na široký rámček H37AL (88631)</v>
      </c>
      <c r="M318" s="175" t="s">
        <v>451</v>
      </c>
      <c r="N318" s="133" t="s">
        <v>521</v>
      </c>
      <c r="O318" s="133" t="s">
        <v>522</v>
      </c>
      <c r="P318" s="133" t="s">
        <v>523</v>
      </c>
      <c r="Q318" s="133" t="s">
        <v>1377</v>
      </c>
      <c r="R318" s="325" t="s">
        <v>3940</v>
      </c>
      <c r="AA318" s="181"/>
      <c r="AB318" s="185"/>
    </row>
    <row r="319" spans="2:28">
      <c r="B319" s="182" t="str">
        <f t="shared" si="21"/>
        <v>Výška rámčeku vnútorná výška skrinky - 6 mm.</v>
      </c>
      <c r="M319" s="175" t="s">
        <v>3547</v>
      </c>
      <c r="N319" s="133" t="s">
        <v>3549</v>
      </c>
      <c r="O319" s="133" t="s">
        <v>3548</v>
      </c>
      <c r="P319" s="133" t="s">
        <v>3550</v>
      </c>
      <c r="Q319" s="133" t="s">
        <v>3551</v>
      </c>
      <c r="R319" s="325" t="s">
        <v>3941</v>
      </c>
      <c r="AA319" s="181"/>
      <c r="AB319" s="185"/>
    </row>
    <row r="320" spans="2:28">
      <c r="B320" s="182" t="str">
        <f t="shared" si="21"/>
        <v>Štandardne sú rámčeky pripravené pre posuvné kovanie H27AL (nosnosť 25 kg na rámček) a H37AL (nosnosť 35 kg na rámček).</v>
      </c>
      <c r="M320" s="175" t="s">
        <v>1227</v>
      </c>
      <c r="N320" s="133" t="s">
        <v>1228</v>
      </c>
      <c r="O320" s="133" t="s">
        <v>1297</v>
      </c>
      <c r="P320" s="133" t="s">
        <v>1296</v>
      </c>
      <c r="Q320" s="133" t="s">
        <v>1378</v>
      </c>
      <c r="R320" s="325" t="s">
        <v>3942</v>
      </c>
      <c r="AA320" s="181"/>
      <c r="AB320" s="185"/>
    </row>
    <row r="321" spans="2:28">
      <c r="B321" s="182" t="str">
        <f t="shared" si="21"/>
        <v>Horné vedenie dĺžka 2 m (87313)</v>
      </c>
      <c r="M321" s="175" t="s">
        <v>452</v>
      </c>
      <c r="N321" s="133" t="s">
        <v>524</v>
      </c>
      <c r="O321" s="133" t="s">
        <v>525</v>
      </c>
      <c r="P321" s="133" t="s">
        <v>526</v>
      </c>
      <c r="Q321" s="133" t="s">
        <v>1506</v>
      </c>
      <c r="R321" s="325" t="s">
        <v>3943</v>
      </c>
      <c r="AA321" s="181"/>
      <c r="AB321" s="185"/>
    </row>
    <row r="322" spans="2:28">
      <c r="B322" s="182" t="str">
        <f t="shared" si="21"/>
        <v>Spodné vedenie dĺžka 2 m (87315)</v>
      </c>
      <c r="M322" s="175" t="s">
        <v>3195</v>
      </c>
      <c r="N322" s="133" t="s">
        <v>527</v>
      </c>
      <c r="O322" s="133" t="s">
        <v>528</v>
      </c>
      <c r="P322" s="133" t="s">
        <v>529</v>
      </c>
      <c r="Q322" s="133" t="s">
        <v>1507</v>
      </c>
      <c r="R322" s="325" t="s">
        <v>3944</v>
      </c>
      <c r="AA322" s="181"/>
      <c r="AB322" s="185"/>
    </row>
    <row r="323" spans="2:28">
      <c r="B323" s="182" t="str">
        <f t="shared" si="21"/>
        <v>Horné vedenie dĺžka 3 m (87312)</v>
      </c>
      <c r="M323" s="175" t="s">
        <v>453</v>
      </c>
      <c r="N323" s="133" t="s">
        <v>530</v>
      </c>
      <c r="O323" s="133" t="s">
        <v>531</v>
      </c>
      <c r="P323" s="133" t="s">
        <v>532</v>
      </c>
      <c r="Q323" s="133" t="s">
        <v>1508</v>
      </c>
      <c r="R323" s="325" t="s">
        <v>3945</v>
      </c>
      <c r="AA323" s="181"/>
      <c r="AB323" s="185"/>
    </row>
    <row r="324" spans="2:28" ht="15.75" thickBot="1">
      <c r="B324" s="182" t="str">
        <f t="shared" si="21"/>
        <v>Spodné vedeniedĺžka 3 m (87314)</v>
      </c>
      <c r="M324" s="175" t="s">
        <v>3196</v>
      </c>
      <c r="N324" s="133" t="s">
        <v>533</v>
      </c>
      <c r="O324" s="133" t="s">
        <v>534</v>
      </c>
      <c r="P324" s="133" t="s">
        <v>535</v>
      </c>
      <c r="Q324" s="133" t="s">
        <v>1509</v>
      </c>
      <c r="R324" s="325" t="s">
        <v>3946</v>
      </c>
      <c r="AA324" s="191"/>
      <c r="AB324" s="192"/>
    </row>
    <row r="325" spans="2:28">
      <c r="B325" s="182" t="str">
        <f t="shared" si="21"/>
        <v>Iná požiadavka (ks)</v>
      </c>
      <c r="M325" s="175" t="s">
        <v>460</v>
      </c>
      <c r="N325" s="133" t="s">
        <v>536</v>
      </c>
      <c r="O325" s="133" t="s">
        <v>537</v>
      </c>
      <c r="P325" s="133" t="s">
        <v>538</v>
      </c>
      <c r="Q325" s="133" t="s">
        <v>1510</v>
      </c>
      <c r="R325" s="325" t="s">
        <v>3947</v>
      </c>
      <c r="AA325" s="181"/>
      <c r="AB325" s="185"/>
    </row>
    <row r="326" spans="2:28" ht="15.75" thickBot="1">
      <c r="B326" s="182" t="str">
        <f t="shared" si="21"/>
        <v>Množstvo (ks)</v>
      </c>
      <c r="M326" s="175" t="s">
        <v>463</v>
      </c>
      <c r="N326" s="133" t="s">
        <v>539</v>
      </c>
      <c r="O326" s="133" t="s">
        <v>540</v>
      </c>
      <c r="P326" s="133" t="s">
        <v>541</v>
      </c>
      <c r="Q326" s="133" t="s">
        <v>1511</v>
      </c>
      <c r="R326" s="325" t="s">
        <v>3948</v>
      </c>
      <c r="AA326" s="191"/>
      <c r="AB326" s="192"/>
    </row>
    <row r="327" spans="2:28" ht="15.75" thickBot="1">
      <c r="B327" s="182" t="str">
        <f t="shared" si="21"/>
        <v>K nadrozmerným rámčekom (nad rozmer 1200 x 800 mm), môže byť účtovaný príplatok za špeciálne balenie a dopravu (viac informácií na zákazníckom centre).</v>
      </c>
      <c r="M327" s="175" t="s">
        <v>2643</v>
      </c>
      <c r="N327" s="133" t="s">
        <v>542</v>
      </c>
      <c r="O327" s="133" t="s">
        <v>3574</v>
      </c>
      <c r="P327" s="133" t="s">
        <v>1264</v>
      </c>
      <c r="Q327" s="133" t="s">
        <v>1512</v>
      </c>
      <c r="R327" s="325" t="s">
        <v>3949</v>
      </c>
      <c r="AA327" s="191"/>
      <c r="AB327" s="192"/>
    </row>
    <row r="328" spans="2:28">
      <c r="B328" s="182" t="str">
        <f t="shared" si="21"/>
        <v xml:space="preserve">Vhodné rozmery rámčeku pre konkrétny typ kovania je nutné overiť pred zadanímdo objednávky (Aventplan, katalóg, …), formulár nemá nastavené obmedzenia. </v>
      </c>
      <c r="M328" s="175" t="s">
        <v>465</v>
      </c>
      <c r="N328" s="133" t="s">
        <v>543</v>
      </c>
      <c r="O328" s="133" t="s">
        <v>1313</v>
      </c>
      <c r="P328" s="133" t="s">
        <v>544</v>
      </c>
      <c r="Q328" s="133" t="s">
        <v>1379</v>
      </c>
      <c r="R328" s="325" t="s">
        <v>3950</v>
      </c>
      <c r="AA328" s="187"/>
      <c r="AB328" s="186"/>
    </row>
    <row r="329" spans="2:28">
      <c r="B329" s="182" t="str">
        <f t="shared" si="21"/>
        <v>Vzorkovník skiel je možné objednať pod kódmi Lacobel VZK003P a Matelac VZK004P.</v>
      </c>
      <c r="M329" s="175" t="s">
        <v>467</v>
      </c>
      <c r="N329" s="133" t="s">
        <v>546</v>
      </c>
      <c r="O329" s="133" t="s">
        <v>545</v>
      </c>
      <c r="P329" s="133" t="s">
        <v>1265</v>
      </c>
      <c r="Q329" s="133" t="s">
        <v>1380</v>
      </c>
      <c r="R329" s="325" t="s">
        <v>3951</v>
      </c>
      <c r="AA329" s="190"/>
      <c r="AB329" s="185"/>
    </row>
    <row r="330" spans="2:28">
      <c r="B330" s="182" t="str">
        <f t="shared" si="21"/>
        <v>Cena za posuvné rámčeky je rovnaká ako cena za bežné rámčeky.</v>
      </c>
      <c r="M330" s="175" t="s">
        <v>1229</v>
      </c>
      <c r="N330" s="133" t="s">
        <v>552</v>
      </c>
      <c r="O330" s="133" t="s">
        <v>1298</v>
      </c>
      <c r="P330" s="133" t="s">
        <v>1299</v>
      </c>
      <c r="Q330" s="133" t="s">
        <v>1381</v>
      </c>
      <c r="R330" s="325" t="s">
        <v>3952</v>
      </c>
      <c r="AA330" s="190"/>
      <c r="AB330" s="185"/>
    </row>
    <row r="331" spans="2:28">
      <c r="B331" s="182" t="str">
        <f t="shared" si="21"/>
        <v>Ak je úchytka pripevnená cez sklo, je nutné vždy použiť distančnú podložku (napr. 144516, 191970, C0315).</v>
      </c>
      <c r="M331" s="175" t="s">
        <v>882</v>
      </c>
      <c r="N331" s="133" t="s">
        <v>883</v>
      </c>
      <c r="O331" s="133" t="s">
        <v>884</v>
      </c>
      <c r="P331" s="133" t="s">
        <v>885</v>
      </c>
      <c r="Q331" s="133" t="s">
        <v>1410</v>
      </c>
      <c r="R331" s="325" t="s">
        <v>3953</v>
      </c>
      <c r="AA331" s="190"/>
      <c r="AB331" s="185"/>
    </row>
    <row r="332" spans="2:28">
      <c r="B332" s="182" t="str">
        <f t="shared" si="21"/>
        <v>Uvedené nákresy dvierok sú znázornené pri pohľade z prednej strany.</v>
      </c>
      <c r="M332" s="175" t="s">
        <v>559</v>
      </c>
      <c r="N332" s="133" t="s">
        <v>793</v>
      </c>
      <c r="O332" s="133" t="s">
        <v>1314</v>
      </c>
      <c r="P332" s="133" t="s">
        <v>1266</v>
      </c>
      <c r="Q332" s="133" t="s">
        <v>1382</v>
      </c>
      <c r="R332" s="325" t="s">
        <v>3954</v>
      </c>
      <c r="AA332" s="190"/>
      <c r="AB332" s="185"/>
    </row>
    <row r="333" spans="2:28">
      <c r="B333" s="182" t="str">
        <f t="shared" si="21"/>
        <v>Nadrozmerný rámček, môže byť účtované vyššie dopravné.</v>
      </c>
      <c r="M333" s="175" t="s">
        <v>560</v>
      </c>
      <c r="N333" s="133" t="s">
        <v>561</v>
      </c>
      <c r="O333" s="133" t="s">
        <v>562</v>
      </c>
      <c r="P333" s="133" t="s">
        <v>563</v>
      </c>
      <c r="Q333" s="133" t="s">
        <v>1383</v>
      </c>
      <c r="R333" s="325" t="s">
        <v>3955</v>
      </c>
      <c r="AA333" s="190"/>
      <c r="AB333" s="185"/>
    </row>
    <row r="334" spans="2:28">
      <c r="B334" s="182" t="str">
        <f t="shared" si="21"/>
        <v>Umiestnenie ramena</v>
      </c>
      <c r="M334" s="175" t="s">
        <v>581</v>
      </c>
      <c r="N334" s="133" t="s">
        <v>794</v>
      </c>
      <c r="O334" s="133" t="s">
        <v>1315</v>
      </c>
      <c r="P334" s="133" t="s">
        <v>795</v>
      </c>
      <c r="Q334" s="133" t="s">
        <v>1384</v>
      </c>
      <c r="R334" s="325" t="s">
        <v>3956</v>
      </c>
      <c r="AA334" s="190"/>
      <c r="AB334" s="185"/>
    </row>
    <row r="335" spans="2:28" ht="15.75" thickBot="1">
      <c r="B335" s="182" t="str">
        <f t="shared" si="21"/>
        <v>Maximálny možný rozmer rámčeku je 2500x1300mm</v>
      </c>
      <c r="M335" s="175" t="s">
        <v>648</v>
      </c>
      <c r="N335" s="133" t="s">
        <v>652</v>
      </c>
      <c r="O335" s="133" t="s">
        <v>653</v>
      </c>
      <c r="P335" s="133" t="s">
        <v>654</v>
      </c>
      <c r="Q335" s="133" t="s">
        <v>1513</v>
      </c>
      <c r="R335" s="325" t="s">
        <v>3957</v>
      </c>
      <c r="AA335" s="193"/>
      <c r="AB335" s="192"/>
    </row>
    <row r="336" spans="2:28">
      <c r="B336" s="182" t="str">
        <f t="shared" si="21"/>
        <v>Minimálna vzdialenosť závesov od kraja rámčeku je 70mm</v>
      </c>
      <c r="M336" s="175" t="s">
        <v>649</v>
      </c>
      <c r="N336" s="133" t="s">
        <v>655</v>
      </c>
      <c r="O336" s="133" t="s">
        <v>656</v>
      </c>
      <c r="P336" s="133" t="s">
        <v>657</v>
      </c>
      <c r="Q336" s="133" t="s">
        <v>1385</v>
      </c>
      <c r="R336" s="325" t="s">
        <v>3958</v>
      </c>
      <c r="AA336" s="190"/>
      <c r="AB336" s="185"/>
    </row>
    <row r="337" spans="2:28" ht="15.75" thickBot="1">
      <c r="B337" s="182" t="str">
        <f t="shared" si="21"/>
        <v>Minimálna vzdialenosť závesov od kraja rámčeku je 80mm</v>
      </c>
      <c r="M337" s="175" t="s">
        <v>650</v>
      </c>
      <c r="N337" s="133" t="s">
        <v>658</v>
      </c>
      <c r="O337" s="133" t="s">
        <v>659</v>
      </c>
      <c r="P337" s="133" t="s">
        <v>660</v>
      </c>
      <c r="Q337" s="133" t="s">
        <v>1386</v>
      </c>
      <c r="R337" s="325" t="s">
        <v>3959</v>
      </c>
      <c r="AA337" s="193"/>
      <c r="AB337" s="192"/>
    </row>
    <row r="338" spans="2:28" ht="15.75" thickBot="1">
      <c r="B338" s="182" t="str">
        <f t="shared" si="21"/>
        <v>Naložený clip</v>
      </c>
      <c r="M338" s="175" t="s">
        <v>64</v>
      </c>
      <c r="N338" s="133" t="s">
        <v>64</v>
      </c>
      <c r="O338" s="133" t="s">
        <v>216</v>
      </c>
      <c r="P338" s="133" t="s">
        <v>282</v>
      </c>
      <c r="Q338" s="133" t="s">
        <v>1448</v>
      </c>
      <c r="R338" s="325" t="s">
        <v>3839</v>
      </c>
      <c r="AA338" s="193"/>
      <c r="AB338" s="192"/>
    </row>
    <row r="339" spans="2:28">
      <c r="B339" s="182" t="str">
        <f t="shared" si="21"/>
        <v>Polonaložený clip</v>
      </c>
      <c r="M339" s="175" t="s">
        <v>65</v>
      </c>
      <c r="N339" s="133" t="s">
        <v>65</v>
      </c>
      <c r="O339" s="133" t="s">
        <v>217</v>
      </c>
      <c r="P339" s="133" t="s">
        <v>1242</v>
      </c>
      <c r="Q339" s="133" t="s">
        <v>1449</v>
      </c>
      <c r="R339" s="325" t="s">
        <v>3840</v>
      </c>
      <c r="AB339" s="186"/>
    </row>
    <row r="340" spans="2:28">
      <c r="B340" s="182" t="str">
        <f t="shared" si="21"/>
        <v>Vložený clip</v>
      </c>
      <c r="M340" s="175" t="s">
        <v>66</v>
      </c>
      <c r="N340" s="133" t="s">
        <v>66</v>
      </c>
      <c r="O340" s="133" t="s">
        <v>218</v>
      </c>
      <c r="P340" s="133" t="s">
        <v>1243</v>
      </c>
      <c r="Q340" s="133" t="s">
        <v>1450</v>
      </c>
      <c r="R340" s="325" t="s">
        <v>3960</v>
      </c>
      <c r="AB340" s="185"/>
    </row>
    <row r="341" spans="2:28">
      <c r="B341" s="182" t="str">
        <f t="shared" si="21"/>
        <v>Uhol 45°</v>
      </c>
      <c r="M341" s="175" t="s">
        <v>67</v>
      </c>
      <c r="N341" s="133" t="s">
        <v>160</v>
      </c>
      <c r="O341" s="133" t="s">
        <v>219</v>
      </c>
      <c r="P341" s="133" t="s">
        <v>283</v>
      </c>
      <c r="Q341" s="133" t="s">
        <v>1350</v>
      </c>
      <c r="R341" s="325" t="s">
        <v>3842</v>
      </c>
      <c r="AB341" s="185"/>
    </row>
    <row r="342" spans="2:28">
      <c r="B342" s="182" t="str">
        <f t="shared" si="21"/>
        <v xml:space="preserve">Naložený </v>
      </c>
      <c r="M342" s="175" t="s">
        <v>68</v>
      </c>
      <c r="N342" s="133" t="s">
        <v>161</v>
      </c>
      <c r="O342" s="133" t="s">
        <v>220</v>
      </c>
      <c r="P342" s="133" t="s">
        <v>284</v>
      </c>
      <c r="Q342" s="133" t="s">
        <v>1451</v>
      </c>
      <c r="R342" s="325" t="s">
        <v>3843</v>
      </c>
      <c r="AB342" s="185"/>
    </row>
    <row r="343" spans="2:28">
      <c r="B343" s="182" t="str">
        <f t="shared" si="21"/>
        <v xml:space="preserve">Polonaložený </v>
      </c>
      <c r="M343" s="175" t="s">
        <v>69</v>
      </c>
      <c r="N343" s="133" t="s">
        <v>162</v>
      </c>
      <c r="O343" s="133" t="s">
        <v>221</v>
      </c>
      <c r="P343" s="133" t="s">
        <v>1244</v>
      </c>
      <c r="Q343" s="133" t="s">
        <v>1452</v>
      </c>
      <c r="R343" s="325" t="s">
        <v>3844</v>
      </c>
      <c r="AB343" s="185"/>
    </row>
    <row r="344" spans="2:28">
      <c r="B344" s="182" t="str">
        <f t="shared" si="21"/>
        <v xml:space="preserve">Vložený </v>
      </c>
      <c r="M344" s="175" t="s">
        <v>70</v>
      </c>
      <c r="N344" s="133" t="s">
        <v>163</v>
      </c>
      <c r="O344" s="133" t="s">
        <v>222</v>
      </c>
      <c r="P344" s="133" t="s">
        <v>1245</v>
      </c>
      <c r="Q344" s="133" t="s">
        <v>905</v>
      </c>
      <c r="R344" s="325" t="s">
        <v>3845</v>
      </c>
      <c r="AB344" s="185"/>
    </row>
    <row r="345" spans="2:28">
      <c r="B345" s="182" t="str">
        <f t="shared" si="21"/>
        <v>Uhol 45°</v>
      </c>
      <c r="M345" s="175" t="s">
        <v>67</v>
      </c>
      <c r="N345" s="133" t="s">
        <v>160</v>
      </c>
      <c r="O345" s="133" t="s">
        <v>219</v>
      </c>
      <c r="P345" s="133" t="s">
        <v>283</v>
      </c>
      <c r="Q345" s="133" t="s">
        <v>1350</v>
      </c>
      <c r="R345" s="325" t="s">
        <v>3842</v>
      </c>
      <c r="AB345" s="185"/>
    </row>
    <row r="346" spans="2:28" ht="15.75" thickBot="1">
      <c r="B346" s="182" t="str">
        <f t="shared" si="21"/>
        <v>Naložený s opačnou pružinou</v>
      </c>
      <c r="M346" s="175" t="s">
        <v>71</v>
      </c>
      <c r="N346" s="133" t="s">
        <v>71</v>
      </c>
      <c r="O346" s="133" t="s">
        <v>223</v>
      </c>
      <c r="P346" s="133" t="s">
        <v>287</v>
      </c>
      <c r="Q346" s="133" t="s">
        <v>1453</v>
      </c>
      <c r="R346" s="325" t="s">
        <v>3846</v>
      </c>
      <c r="AB346" s="192"/>
    </row>
    <row r="347" spans="2:28">
      <c r="B347" s="182" t="str">
        <f t="shared" si="21"/>
        <v>Vložený s opačnou pružinou</v>
      </c>
      <c r="M347" s="175" t="s">
        <v>72</v>
      </c>
      <c r="N347" s="133" t="s">
        <v>72</v>
      </c>
      <c r="O347" s="133" t="s">
        <v>224</v>
      </c>
      <c r="P347" s="133" t="s">
        <v>1246</v>
      </c>
      <c r="Q347" s="133" t="s">
        <v>1454</v>
      </c>
      <c r="R347" s="325" t="s">
        <v>3847</v>
      </c>
      <c r="AB347" s="185"/>
    </row>
    <row r="348" spans="2:28" ht="15.75" thickBot="1">
      <c r="B348" s="182" t="str">
        <f t="shared" si="21"/>
        <v>Clip na skrutku H2</v>
      </c>
      <c r="M348" s="175" t="s">
        <v>87</v>
      </c>
      <c r="N348" s="133" t="s">
        <v>164</v>
      </c>
      <c r="O348" s="133" t="s">
        <v>225</v>
      </c>
      <c r="P348" s="133" t="s">
        <v>288</v>
      </c>
      <c r="Q348" s="133" t="s">
        <v>1455</v>
      </c>
      <c r="R348" s="325" t="s">
        <v>3848</v>
      </c>
      <c r="AB348" s="192"/>
    </row>
    <row r="349" spans="2:28" ht="15.75" thickBot="1">
      <c r="B349" s="182" t="str">
        <f t="shared" si="21"/>
        <v>Clip na skrutku H4</v>
      </c>
      <c r="M349" s="175" t="s">
        <v>88</v>
      </c>
      <c r="N349" s="133" t="s">
        <v>165</v>
      </c>
      <c r="O349" s="133" t="s">
        <v>226</v>
      </c>
      <c r="P349" s="133" t="s">
        <v>289</v>
      </c>
      <c r="Q349" s="133" t="s">
        <v>1456</v>
      </c>
      <c r="R349" s="325" t="s">
        <v>3849</v>
      </c>
      <c r="AB349" s="192"/>
    </row>
    <row r="350" spans="2:28">
      <c r="B350" s="182" t="str">
        <f t="shared" si="21"/>
        <v>Clip na euroskrutku H2</v>
      </c>
      <c r="M350" s="175" t="s">
        <v>89</v>
      </c>
      <c r="N350" s="133" t="s">
        <v>166</v>
      </c>
      <c r="O350" s="133" t="s">
        <v>227</v>
      </c>
      <c r="P350" s="133" t="s">
        <v>290</v>
      </c>
      <c r="Q350" s="133" t="s">
        <v>1457</v>
      </c>
      <c r="R350" s="325" t="s">
        <v>4215</v>
      </c>
    </row>
    <row r="351" spans="2:28">
      <c r="B351" s="182" t="str">
        <f t="shared" si="21"/>
        <v>Clip na euroskrutku H4</v>
      </c>
      <c r="M351" s="175" t="s">
        <v>90</v>
      </c>
      <c r="N351" s="133" t="s">
        <v>167</v>
      </c>
      <c r="O351" s="133" t="s">
        <v>228</v>
      </c>
      <c r="P351" s="133" t="s">
        <v>291</v>
      </c>
      <c r="Q351" s="133" t="s">
        <v>1458</v>
      </c>
      <c r="R351" s="325" t="s">
        <v>3850</v>
      </c>
    </row>
    <row r="352" spans="2:28">
      <c r="B352" s="182" t="str">
        <f t="shared" si="21"/>
        <v>Slide on na skrutku H2</v>
      </c>
      <c r="M352" s="175" t="s">
        <v>91</v>
      </c>
      <c r="N352" s="133" t="s">
        <v>168</v>
      </c>
      <c r="O352" s="133" t="s">
        <v>229</v>
      </c>
      <c r="P352" s="133" t="s">
        <v>292</v>
      </c>
      <c r="Q352" s="133" t="s">
        <v>1459</v>
      </c>
      <c r="R352" s="325" t="s">
        <v>3851</v>
      </c>
    </row>
    <row r="353" spans="2:18">
      <c r="B353" s="182" t="str">
        <f t="shared" si="21"/>
        <v>Slide on na skrutku H4</v>
      </c>
      <c r="M353" s="175" t="s">
        <v>92</v>
      </c>
      <c r="N353" s="133" t="s">
        <v>169</v>
      </c>
      <c r="O353" s="133" t="s">
        <v>230</v>
      </c>
      <c r="P353" s="133" t="s">
        <v>293</v>
      </c>
      <c r="Q353" s="133" t="s">
        <v>1460</v>
      </c>
      <c r="R353" s="325" t="s">
        <v>3852</v>
      </c>
    </row>
    <row r="354" spans="2:18">
      <c r="B354" s="182" t="str">
        <f t="shared" si="21"/>
        <v>Slide on na eurosktutku H2</v>
      </c>
      <c r="M354" s="175" t="s">
        <v>93</v>
      </c>
      <c r="N354" s="133" t="s">
        <v>170</v>
      </c>
      <c r="O354" s="133" t="s">
        <v>231</v>
      </c>
      <c r="P354" s="133" t="s">
        <v>294</v>
      </c>
      <c r="Q354" s="133" t="s">
        <v>1461</v>
      </c>
      <c r="R354" s="325" t="s">
        <v>3853</v>
      </c>
    </row>
    <row r="355" spans="2:18">
      <c r="B355" s="182" t="str">
        <f t="shared" si="21"/>
        <v>Slide on na eurosktutku H4</v>
      </c>
      <c r="M355" s="175" t="s">
        <v>94</v>
      </c>
      <c r="N355" s="133" t="s">
        <v>171</v>
      </c>
      <c r="O355" s="133" t="s">
        <v>232</v>
      </c>
      <c r="P355" s="133" t="s">
        <v>295</v>
      </c>
      <c r="Q355" s="133" t="s">
        <v>1462</v>
      </c>
      <c r="R355" s="325" t="s">
        <v>3854</v>
      </c>
    </row>
    <row r="356" spans="2:18">
      <c r="B356" s="182" t="str">
        <f t="shared" si="21"/>
        <v>Naložený clip</v>
      </c>
      <c r="M356" s="175" t="s">
        <v>64</v>
      </c>
      <c r="N356" s="133" t="s">
        <v>64</v>
      </c>
      <c r="O356" s="133" t="s">
        <v>216</v>
      </c>
      <c r="P356" s="133" t="s">
        <v>282</v>
      </c>
      <c r="Q356" s="133" t="s">
        <v>1448</v>
      </c>
      <c r="R356" s="325" t="s">
        <v>3839</v>
      </c>
    </row>
    <row r="357" spans="2:18">
      <c r="B357" s="182" t="str">
        <f t="shared" si="21"/>
        <v>Polonaložený clip</v>
      </c>
      <c r="M357" s="175" t="s">
        <v>65</v>
      </c>
      <c r="N357" s="133" t="s">
        <v>65</v>
      </c>
      <c r="O357" s="133" t="s">
        <v>217</v>
      </c>
      <c r="P357" s="133" t="s">
        <v>1242</v>
      </c>
      <c r="Q357" s="133" t="s">
        <v>1449</v>
      </c>
      <c r="R357" s="325" t="s">
        <v>3840</v>
      </c>
    </row>
    <row r="358" spans="2:18">
      <c r="B358" s="182" t="str">
        <f t="shared" si="21"/>
        <v>Vložený clip</v>
      </c>
      <c r="M358" s="175" t="s">
        <v>66</v>
      </c>
      <c r="N358" s="133" t="s">
        <v>66</v>
      </c>
      <c r="O358" s="133" t="s">
        <v>218</v>
      </c>
      <c r="P358" s="133" t="s">
        <v>1243</v>
      </c>
      <c r="Q358" s="133" t="s">
        <v>1450</v>
      </c>
      <c r="R358" s="325" t="s">
        <v>3841</v>
      </c>
    </row>
    <row r="359" spans="2:18">
      <c r="B359" s="182" t="str">
        <f t="shared" si="21"/>
        <v xml:space="preserve">45°clip </v>
      </c>
      <c r="M359" s="175" t="s">
        <v>0</v>
      </c>
      <c r="N359" s="133" t="s">
        <v>178</v>
      </c>
      <c r="O359" s="133" t="s">
        <v>0</v>
      </c>
      <c r="P359" s="133" t="s">
        <v>1249</v>
      </c>
      <c r="Q359" s="133" t="s">
        <v>1472</v>
      </c>
      <c r="R359" s="325" t="s">
        <v>3865</v>
      </c>
    </row>
    <row r="360" spans="2:18">
      <c r="B360" s="182" t="str">
        <f t="shared" si="21"/>
        <v>StrongHinges Clip na euroskrutku H0</v>
      </c>
      <c r="M360" s="175" t="s">
        <v>2332</v>
      </c>
      <c r="N360" s="133" t="s">
        <v>2333</v>
      </c>
      <c r="O360" s="133" t="s">
        <v>2334</v>
      </c>
      <c r="P360" s="133" t="s">
        <v>2335</v>
      </c>
      <c r="Q360" s="133" t="s">
        <v>2336</v>
      </c>
      <c r="R360" s="325" t="s">
        <v>3961</v>
      </c>
    </row>
    <row r="361" spans="2:18">
      <c r="B361" s="182" t="str">
        <f t="shared" si="21"/>
        <v>StrongHinges Clip na skrutku H0</v>
      </c>
      <c r="M361" s="175" t="s">
        <v>2337</v>
      </c>
      <c r="N361" s="133" t="s">
        <v>2338</v>
      </c>
      <c r="O361" s="133" t="s">
        <v>2339</v>
      </c>
      <c r="P361" s="133" t="s">
        <v>2340</v>
      </c>
      <c r="Q361" s="133" t="s">
        <v>2341</v>
      </c>
      <c r="R361" s="325" t="s">
        <v>3962</v>
      </c>
    </row>
    <row r="362" spans="2:18">
      <c r="B362" s="182" t="str">
        <f t="shared" ref="B362:B425" si="22">IF($D$1=1,M362,IF($D$1=2,N362,IF($D$1=3,O362,IF($D$1=4,P362,IF($D$1=5,Q362,IF($D$1=6,R362,0))))))</f>
        <v>StrongHinges Clip na euroskrutku H2</v>
      </c>
      <c r="M362" s="175" t="s">
        <v>2342</v>
      </c>
      <c r="N362" s="133" t="s">
        <v>2343</v>
      </c>
      <c r="O362" s="133" t="s">
        <v>2344</v>
      </c>
      <c r="P362" s="133" t="s">
        <v>2345</v>
      </c>
      <c r="Q362" s="133" t="s">
        <v>2346</v>
      </c>
      <c r="R362" s="325" t="s">
        <v>3963</v>
      </c>
    </row>
    <row r="363" spans="2:18">
      <c r="B363" s="182" t="str">
        <f t="shared" si="22"/>
        <v>StrongHinges Clip na skrutku H2</v>
      </c>
      <c r="M363" s="175" t="s">
        <v>2347</v>
      </c>
      <c r="N363" s="133" t="s">
        <v>2348</v>
      </c>
      <c r="O363" s="133" t="s">
        <v>2349</v>
      </c>
      <c r="P363" s="133" t="s">
        <v>2350</v>
      </c>
      <c r="Q363" s="133" t="s">
        <v>2351</v>
      </c>
      <c r="R363" s="325" t="s">
        <v>3964</v>
      </c>
    </row>
    <row r="364" spans="2:18">
      <c r="B364" s="182" t="str">
        <f t="shared" si="22"/>
        <v>Naložený clip</v>
      </c>
      <c r="M364" s="175" t="s">
        <v>64</v>
      </c>
      <c r="N364" s="133" t="s">
        <v>64</v>
      </c>
      <c r="O364" s="133" t="s">
        <v>216</v>
      </c>
      <c r="P364" s="133" t="s">
        <v>282</v>
      </c>
      <c r="Q364" s="133" t="s">
        <v>1448</v>
      </c>
      <c r="R364" s="325" t="s">
        <v>3839</v>
      </c>
    </row>
    <row r="365" spans="2:18">
      <c r="B365" s="182" t="str">
        <f t="shared" si="22"/>
        <v>Naložený clip</v>
      </c>
      <c r="M365" s="175" t="s">
        <v>64</v>
      </c>
      <c r="N365" s="133" t="s">
        <v>64</v>
      </c>
      <c r="O365" s="133" t="s">
        <v>216</v>
      </c>
      <c r="P365" s="133" t="s">
        <v>282</v>
      </c>
      <c r="Q365" s="133" t="s">
        <v>1448</v>
      </c>
      <c r="R365" s="325" t="s">
        <v>3839</v>
      </c>
    </row>
    <row r="366" spans="2:18">
      <c r="B366" s="182" t="str">
        <f t="shared" si="22"/>
        <v>Polonaložený clip</v>
      </c>
      <c r="M366" s="175" t="s">
        <v>65</v>
      </c>
      <c r="N366" s="133" t="s">
        <v>65</v>
      </c>
      <c r="O366" s="133" t="s">
        <v>217</v>
      </c>
      <c r="P366" s="133" t="s">
        <v>1242</v>
      </c>
      <c r="Q366" s="133" t="s">
        <v>1449</v>
      </c>
      <c r="R366" s="325" t="s">
        <v>3840</v>
      </c>
    </row>
    <row r="367" spans="2:18">
      <c r="B367" s="182" t="str">
        <f t="shared" si="22"/>
        <v>Vložený clip</v>
      </c>
      <c r="M367" s="175" t="s">
        <v>66</v>
      </c>
      <c r="N367" s="133" t="s">
        <v>66</v>
      </c>
      <c r="O367" s="133" t="s">
        <v>218</v>
      </c>
      <c r="P367" s="133" t="s">
        <v>1243</v>
      </c>
      <c r="Q367" s="133" t="s">
        <v>1450</v>
      </c>
      <c r="R367" s="325" t="s">
        <v>3841</v>
      </c>
    </row>
    <row r="368" spans="2:18">
      <c r="B368" s="182" t="str">
        <f t="shared" si="22"/>
        <v xml:space="preserve">45°clip </v>
      </c>
      <c r="M368" s="175" t="s">
        <v>0</v>
      </c>
      <c r="N368" s="133" t="s">
        <v>178</v>
      </c>
      <c r="O368" s="133" t="s">
        <v>0</v>
      </c>
      <c r="P368" s="133" t="s">
        <v>1249</v>
      </c>
      <c r="Q368" s="133" t="s">
        <v>1472</v>
      </c>
      <c r="R368" s="325" t="s">
        <v>3865</v>
      </c>
    </row>
    <row r="369" spans="2:18">
      <c r="B369" s="182" t="str">
        <f t="shared" si="22"/>
        <v>Clip na euroskrutku H0</v>
      </c>
      <c r="M369" s="175" t="s">
        <v>86</v>
      </c>
      <c r="N369" s="133" t="s">
        <v>179</v>
      </c>
      <c r="O369" s="133" t="s">
        <v>240</v>
      </c>
      <c r="P369" s="133" t="s">
        <v>303</v>
      </c>
      <c r="Q369" s="133" t="s">
        <v>1473</v>
      </c>
      <c r="R369" s="325" t="s">
        <v>3965</v>
      </c>
    </row>
    <row r="370" spans="2:18">
      <c r="B370" s="182" t="str">
        <f t="shared" si="22"/>
        <v>Clip na skrutku H0</v>
      </c>
      <c r="M370" s="175" t="s">
        <v>85</v>
      </c>
      <c r="N370" s="133" t="s">
        <v>180</v>
      </c>
      <c r="O370" s="133" t="s">
        <v>241</v>
      </c>
      <c r="P370" s="133" t="s">
        <v>304</v>
      </c>
      <c r="Q370" s="133" t="s">
        <v>1474</v>
      </c>
      <c r="R370" s="325" t="s">
        <v>3867</v>
      </c>
    </row>
    <row r="371" spans="2:18">
      <c r="B371" s="182" t="str">
        <f t="shared" si="22"/>
        <v>Clip na euroskrutku H2</v>
      </c>
      <c r="M371" s="175" t="s">
        <v>89</v>
      </c>
      <c r="N371" s="133" t="s">
        <v>166</v>
      </c>
      <c r="O371" s="133" t="s">
        <v>227</v>
      </c>
      <c r="P371" s="133" t="s">
        <v>290</v>
      </c>
      <c r="Q371" s="133" t="s">
        <v>1457</v>
      </c>
      <c r="R371" s="325" t="s">
        <v>3966</v>
      </c>
    </row>
    <row r="372" spans="2:18">
      <c r="B372" s="182" t="str">
        <f t="shared" si="22"/>
        <v>Sensys naložený tlmený</v>
      </c>
      <c r="M372" s="175" t="s">
        <v>569</v>
      </c>
      <c r="N372" s="133" t="s">
        <v>661</v>
      </c>
      <c r="O372" s="133" t="s">
        <v>662</v>
      </c>
      <c r="P372" s="133" t="s">
        <v>663</v>
      </c>
      <c r="Q372" s="133" t="s">
        <v>1514</v>
      </c>
      <c r="R372" s="325" t="s">
        <v>3967</v>
      </c>
    </row>
    <row r="373" spans="2:18">
      <c r="B373" s="182" t="str">
        <f t="shared" si="22"/>
        <v>Sensys polonaložený tlmený</v>
      </c>
      <c r="M373" s="175" t="s">
        <v>570</v>
      </c>
      <c r="N373" s="133" t="s">
        <v>664</v>
      </c>
      <c r="O373" s="133" t="s">
        <v>665</v>
      </c>
      <c r="P373" s="133" t="s">
        <v>1267</v>
      </c>
      <c r="Q373" s="133" t="s">
        <v>1515</v>
      </c>
      <c r="R373" s="325" t="s">
        <v>3968</v>
      </c>
    </row>
    <row r="374" spans="2:18">
      <c r="B374" s="182" t="str">
        <f t="shared" si="22"/>
        <v>Sensys vložený tlmený</v>
      </c>
      <c r="M374" s="175" t="s">
        <v>571</v>
      </c>
      <c r="N374" s="133" t="s">
        <v>666</v>
      </c>
      <c r="O374" s="133" t="s">
        <v>667</v>
      </c>
      <c r="P374" s="133" t="s">
        <v>1268</v>
      </c>
      <c r="Q374" s="133" t="s">
        <v>1516</v>
      </c>
      <c r="R374" s="325" t="s">
        <v>3969</v>
      </c>
    </row>
    <row r="375" spans="2:18">
      <c r="B375" s="182" t="str">
        <f t="shared" si="22"/>
        <v>Sensys príložný tlmený</v>
      </c>
      <c r="M375" s="175" t="s">
        <v>572</v>
      </c>
      <c r="N375" s="133" t="s">
        <v>668</v>
      </c>
      <c r="O375" s="133" t="s">
        <v>669</v>
      </c>
      <c r="P375" s="133" t="s">
        <v>670</v>
      </c>
      <c r="Q375" s="133" t="s">
        <v>1517</v>
      </c>
      <c r="R375" s="329" t="s">
        <v>3970</v>
      </c>
    </row>
    <row r="376" spans="2:18">
      <c r="B376" s="182" t="str">
        <f t="shared" si="22"/>
        <v>Sensys naložený netlmený</v>
      </c>
      <c r="M376" s="175" t="s">
        <v>573</v>
      </c>
      <c r="N376" s="133" t="s">
        <v>671</v>
      </c>
      <c r="O376" s="133" t="s">
        <v>672</v>
      </c>
      <c r="P376" s="133" t="s">
        <v>673</v>
      </c>
      <c r="Q376" s="133" t="s">
        <v>1518</v>
      </c>
      <c r="R376" s="325" t="s">
        <v>3971</v>
      </c>
    </row>
    <row r="377" spans="2:18">
      <c r="B377" s="182" t="str">
        <f t="shared" si="22"/>
        <v>Intermat naložený</v>
      </c>
      <c r="M377" s="175" t="s">
        <v>574</v>
      </c>
      <c r="N377" s="133" t="s">
        <v>574</v>
      </c>
      <c r="O377" s="133" t="s">
        <v>674</v>
      </c>
      <c r="P377" s="133" t="s">
        <v>675</v>
      </c>
      <c r="Q377" s="133" t="s">
        <v>1519</v>
      </c>
      <c r="R377" s="325" t="s">
        <v>3972</v>
      </c>
    </row>
    <row r="378" spans="2:18">
      <c r="B378" s="182" t="str">
        <f t="shared" si="22"/>
        <v>Intermat naložený 125°</v>
      </c>
      <c r="M378" s="175" t="s">
        <v>575</v>
      </c>
      <c r="N378" s="133" t="s">
        <v>575</v>
      </c>
      <c r="O378" s="133" t="s">
        <v>676</v>
      </c>
      <c r="P378" s="133" t="s">
        <v>677</v>
      </c>
      <c r="Q378" s="133" t="s">
        <v>1520</v>
      </c>
      <c r="R378" s="325" t="s">
        <v>3973</v>
      </c>
    </row>
    <row r="379" spans="2:18">
      <c r="B379" s="182" t="str">
        <f t="shared" si="22"/>
        <v>Intermat polonaložený</v>
      </c>
      <c r="M379" s="175" t="s">
        <v>576</v>
      </c>
      <c r="N379" s="133" t="s">
        <v>576</v>
      </c>
      <c r="O379" s="133" t="s">
        <v>678</v>
      </c>
      <c r="P379" s="133" t="s">
        <v>1269</v>
      </c>
      <c r="Q379" s="133" t="s">
        <v>1521</v>
      </c>
      <c r="R379" s="325" t="s">
        <v>4216</v>
      </c>
    </row>
    <row r="380" spans="2:18">
      <c r="B380" s="182" t="str">
        <f t="shared" si="22"/>
        <v>Intermat vložený</v>
      </c>
      <c r="M380" s="175" t="s">
        <v>577</v>
      </c>
      <c r="N380" s="133" t="s">
        <v>577</v>
      </c>
      <c r="O380" s="133" t="s">
        <v>679</v>
      </c>
      <c r="P380" s="133" t="s">
        <v>1270</v>
      </c>
      <c r="Q380" s="133" t="s">
        <v>1387</v>
      </c>
      <c r="R380" s="325" t="s">
        <v>3974</v>
      </c>
    </row>
    <row r="381" spans="2:18">
      <c r="B381" s="182" t="str">
        <f t="shared" si="22"/>
        <v>Intermat príložný</v>
      </c>
      <c r="M381" s="175" t="s">
        <v>578</v>
      </c>
      <c r="N381" s="133" t="s">
        <v>680</v>
      </c>
      <c r="O381" s="133" t="s">
        <v>681</v>
      </c>
      <c r="P381" s="133" t="s">
        <v>682</v>
      </c>
      <c r="Q381" s="133" t="s">
        <v>1522</v>
      </c>
      <c r="R381" s="325" t="s">
        <v>3975</v>
      </c>
    </row>
    <row r="382" spans="2:18">
      <c r="B382" s="182" t="str">
        <f t="shared" si="22"/>
        <v>Sensys naložený bez tlmenia</v>
      </c>
      <c r="M382" s="175" t="s">
        <v>597</v>
      </c>
      <c r="N382" s="133" t="s">
        <v>683</v>
      </c>
      <c r="O382" s="133" t="s">
        <v>672</v>
      </c>
      <c r="P382" s="133" t="s">
        <v>673</v>
      </c>
      <c r="Q382" s="133" t="s">
        <v>1523</v>
      </c>
      <c r="R382" s="325" t="s">
        <v>3971</v>
      </c>
    </row>
    <row r="383" spans="2:18">
      <c r="B383" s="182" t="str">
        <f t="shared" si="22"/>
        <v>Sensys vložený bez tlmenia</v>
      </c>
      <c r="M383" s="175" t="s">
        <v>598</v>
      </c>
      <c r="N383" s="133" t="s">
        <v>684</v>
      </c>
      <c r="O383" s="133" t="s">
        <v>685</v>
      </c>
      <c r="P383" s="133" t="s">
        <v>1271</v>
      </c>
      <c r="Q383" s="133" t="s">
        <v>1524</v>
      </c>
      <c r="R383" s="325" t="s">
        <v>3976</v>
      </c>
    </row>
    <row r="384" spans="2:18">
      <c r="B384" s="182" t="str">
        <f t="shared" si="22"/>
        <v>Sensys naložený tlmený</v>
      </c>
      <c r="M384" s="175" t="s">
        <v>569</v>
      </c>
      <c r="N384" s="133" t="s">
        <v>661</v>
      </c>
      <c r="O384" s="133" t="s">
        <v>662</v>
      </c>
      <c r="P384" s="133" t="s">
        <v>663</v>
      </c>
      <c r="Q384" s="133" t="s">
        <v>1514</v>
      </c>
      <c r="R384" s="325" t="s">
        <v>3967</v>
      </c>
    </row>
    <row r="385" spans="2:18">
      <c r="B385" s="182" t="str">
        <f t="shared" si="22"/>
        <v>Sensys vložený tlmený</v>
      </c>
      <c r="M385" s="175" t="s">
        <v>571</v>
      </c>
      <c r="N385" s="133" t="s">
        <v>666</v>
      </c>
      <c r="O385" s="133" t="s">
        <v>667</v>
      </c>
      <c r="P385" s="133" t="s">
        <v>1268</v>
      </c>
      <c r="Q385" s="133" t="s">
        <v>1516</v>
      </c>
      <c r="R385" s="325" t="s">
        <v>3969</v>
      </c>
    </row>
    <row r="386" spans="2:18">
      <c r="B386" s="182" t="str">
        <f t="shared" si="22"/>
        <v>Intermat naložený</v>
      </c>
      <c r="M386" s="175" t="s">
        <v>574</v>
      </c>
      <c r="N386" s="133" t="s">
        <v>574</v>
      </c>
      <c r="O386" s="133" t="s">
        <v>674</v>
      </c>
      <c r="P386" s="133" t="s">
        <v>675</v>
      </c>
      <c r="Q386" s="133" t="s">
        <v>1519</v>
      </c>
      <c r="R386" s="325" t="s">
        <v>3972</v>
      </c>
    </row>
    <row r="387" spans="2:18">
      <c r="B387" s="182" t="str">
        <f t="shared" si="22"/>
        <v>Intermat vložený</v>
      </c>
      <c r="M387" s="175" t="s">
        <v>577</v>
      </c>
      <c r="N387" s="133" t="s">
        <v>577</v>
      </c>
      <c r="O387" s="133" t="s">
        <v>679</v>
      </c>
      <c r="P387" s="133" t="s">
        <v>1270</v>
      </c>
      <c r="Q387" s="133" t="s">
        <v>1387</v>
      </c>
      <c r="R387" s="325" t="s">
        <v>3974</v>
      </c>
    </row>
    <row r="388" spans="2:18">
      <c r="B388" s="182" t="str">
        <f t="shared" si="22"/>
        <v>podložka na vrut</v>
      </c>
      <c r="M388" s="175" t="s">
        <v>645</v>
      </c>
      <c r="N388" s="133" t="s">
        <v>645</v>
      </c>
      <c r="O388" s="133" t="s">
        <v>686</v>
      </c>
      <c r="P388" s="133" t="s">
        <v>687</v>
      </c>
      <c r="Q388" s="133" t="s">
        <v>1525</v>
      </c>
      <c r="R388" s="329" t="s">
        <v>3977</v>
      </c>
    </row>
    <row r="389" spans="2:18">
      <c r="B389" s="182" t="str">
        <f t="shared" si="22"/>
        <v>podložka na Eurovrut</v>
      </c>
      <c r="M389" s="175" t="s">
        <v>579</v>
      </c>
      <c r="N389" s="133" t="s">
        <v>579</v>
      </c>
      <c r="O389" s="133" t="s">
        <v>688</v>
      </c>
      <c r="P389" s="133" t="s">
        <v>689</v>
      </c>
      <c r="Q389" s="133" t="s">
        <v>1526</v>
      </c>
      <c r="R389" s="329" t="s">
        <v>3978</v>
      </c>
    </row>
    <row r="390" spans="2:18">
      <c r="B390" s="182" t="str">
        <f t="shared" si="22"/>
        <v>podložka na rozpernú hmoždinku</v>
      </c>
      <c r="M390" s="175" t="s">
        <v>580</v>
      </c>
      <c r="N390" s="133" t="s">
        <v>690</v>
      </c>
      <c r="O390" s="133" t="s">
        <v>691</v>
      </c>
      <c r="P390" s="133" t="s">
        <v>692</v>
      </c>
      <c r="Q390" s="133" t="s">
        <v>1527</v>
      </c>
      <c r="R390" s="329" t="s">
        <v>3979</v>
      </c>
    </row>
    <row r="391" spans="2:18">
      <c r="B391" s="182" t="str">
        <f t="shared" si="22"/>
        <v>Naložený clip</v>
      </c>
      <c r="M391" s="175" t="s">
        <v>646</v>
      </c>
      <c r="N391" s="133" t="s">
        <v>64</v>
      </c>
      <c r="O391" s="133" t="s">
        <v>216</v>
      </c>
      <c r="P391" s="133" t="s">
        <v>282</v>
      </c>
      <c r="Q391" s="133" t="s">
        <v>1448</v>
      </c>
      <c r="R391" s="325" t="s">
        <v>3839</v>
      </c>
    </row>
    <row r="392" spans="2:18">
      <c r="B392" s="182" t="str">
        <f t="shared" si="22"/>
        <v>Polonaložený clip</v>
      </c>
      <c r="M392" s="175" t="s">
        <v>647</v>
      </c>
      <c r="N392" s="133" t="s">
        <v>65</v>
      </c>
      <c r="O392" s="133" t="s">
        <v>217</v>
      </c>
      <c r="P392" s="133" t="s">
        <v>1242</v>
      </c>
      <c r="Q392" s="133" t="s">
        <v>1449</v>
      </c>
      <c r="R392" s="325" t="s">
        <v>3840</v>
      </c>
    </row>
    <row r="393" spans="2:18">
      <c r="B393" s="182" t="str">
        <f t="shared" si="22"/>
        <v>Vložený clip</v>
      </c>
      <c r="M393" s="175" t="s">
        <v>66</v>
      </c>
      <c r="N393" s="133" t="s">
        <v>66</v>
      </c>
      <c r="O393" s="133" t="s">
        <v>218</v>
      </c>
      <c r="P393" s="133" t="s">
        <v>1243</v>
      </c>
      <c r="Q393" s="133" t="s">
        <v>1450</v>
      </c>
      <c r="R393" s="325" t="s">
        <v>3841</v>
      </c>
    </row>
    <row r="394" spans="2:18">
      <c r="B394" s="182" t="str">
        <f t="shared" si="22"/>
        <v>naložený s tlmením clip 110°</v>
      </c>
      <c r="M394" s="175" t="s">
        <v>583</v>
      </c>
      <c r="N394" s="133" t="s">
        <v>693</v>
      </c>
      <c r="O394" s="133" t="s">
        <v>694</v>
      </c>
      <c r="P394" s="133" t="s">
        <v>827</v>
      </c>
      <c r="Q394" s="133" t="s">
        <v>1528</v>
      </c>
      <c r="R394" s="325" t="s">
        <v>3980</v>
      </c>
    </row>
    <row r="395" spans="2:18">
      <c r="B395" s="182" t="str">
        <f t="shared" si="22"/>
        <v>polonaložený s tlmením clip 110°</v>
      </c>
      <c r="M395" s="175" t="s">
        <v>584</v>
      </c>
      <c r="N395" s="133" t="s">
        <v>695</v>
      </c>
      <c r="O395" s="133" t="s">
        <v>696</v>
      </c>
      <c r="P395" s="133" t="s">
        <v>1272</v>
      </c>
      <c r="Q395" s="133" t="s">
        <v>1529</v>
      </c>
      <c r="R395" s="325" t="s">
        <v>3981</v>
      </c>
    </row>
    <row r="396" spans="2:18">
      <c r="B396" s="182" t="str">
        <f t="shared" si="22"/>
        <v>vložený s tlmením clip 110°</v>
      </c>
      <c r="M396" s="175" t="s">
        <v>585</v>
      </c>
      <c r="N396" s="133" t="s">
        <v>697</v>
      </c>
      <c r="O396" s="133" t="s">
        <v>698</v>
      </c>
      <c r="P396" s="133" t="s">
        <v>1273</v>
      </c>
      <c r="Q396" s="133" t="s">
        <v>1530</v>
      </c>
      <c r="R396" s="325" t="s">
        <v>3982</v>
      </c>
    </row>
    <row r="397" spans="2:18">
      <c r="B397" s="182" t="str">
        <f t="shared" si="22"/>
        <v>naložený bez tlmenia clip 110°</v>
      </c>
      <c r="M397" s="175" t="s">
        <v>586</v>
      </c>
      <c r="N397" s="133" t="s">
        <v>699</v>
      </c>
      <c r="O397" s="133" t="s">
        <v>700</v>
      </c>
      <c r="P397" s="133" t="s">
        <v>828</v>
      </c>
      <c r="Q397" s="133" t="s">
        <v>1531</v>
      </c>
      <c r="R397" s="325" t="s">
        <v>3983</v>
      </c>
    </row>
    <row r="398" spans="2:18">
      <c r="B398" s="182" t="str">
        <f t="shared" si="22"/>
        <v>polonaložený bez tlmenia clip 110°</v>
      </c>
      <c r="M398" s="175" t="s">
        <v>587</v>
      </c>
      <c r="N398" s="133" t="s">
        <v>701</v>
      </c>
      <c r="O398" s="133" t="s">
        <v>702</v>
      </c>
      <c r="P398" s="133" t="s">
        <v>1274</v>
      </c>
      <c r="Q398" s="133" t="s">
        <v>1532</v>
      </c>
      <c r="R398" s="325" t="s">
        <v>3984</v>
      </c>
    </row>
    <row r="399" spans="2:18">
      <c r="B399" s="182" t="str">
        <f t="shared" si="22"/>
        <v>vložený bez tlmenia clip 110°</v>
      </c>
      <c r="M399" s="175" t="s">
        <v>588</v>
      </c>
      <c r="N399" s="133" t="s">
        <v>703</v>
      </c>
      <c r="O399" s="133" t="s">
        <v>704</v>
      </c>
      <c r="P399" s="133" t="s">
        <v>841</v>
      </c>
      <c r="Q399" s="133" t="s">
        <v>1533</v>
      </c>
      <c r="R399" s="325" t="s">
        <v>3985</v>
      </c>
    </row>
    <row r="400" spans="2:18">
      <c r="B400" s="182" t="str">
        <f t="shared" si="22"/>
        <v>naložený TIP-ON clip 110°</v>
      </c>
      <c r="M400" s="175" t="s">
        <v>589</v>
      </c>
      <c r="N400" s="133" t="s">
        <v>589</v>
      </c>
      <c r="O400" s="133" t="s">
        <v>705</v>
      </c>
      <c r="P400" s="133" t="s">
        <v>829</v>
      </c>
      <c r="Q400" s="133" t="s">
        <v>1534</v>
      </c>
      <c r="R400" s="325" t="s">
        <v>3986</v>
      </c>
    </row>
    <row r="401" spans="2:18">
      <c r="B401" s="182" t="str">
        <f t="shared" si="22"/>
        <v>polonaložený TIP-ON clip 110°</v>
      </c>
      <c r="M401" s="175" t="s">
        <v>590</v>
      </c>
      <c r="N401" s="133" t="s">
        <v>590</v>
      </c>
      <c r="O401" s="133" t="s">
        <v>706</v>
      </c>
      <c r="P401" s="133" t="s">
        <v>1275</v>
      </c>
      <c r="Q401" s="133" t="s">
        <v>1535</v>
      </c>
      <c r="R401" s="325" t="s">
        <v>3987</v>
      </c>
    </row>
    <row r="402" spans="2:18">
      <c r="B402" s="182" t="str">
        <f t="shared" si="22"/>
        <v>vložený TIP-ON clip 110°</v>
      </c>
      <c r="M402" s="175" t="s">
        <v>591</v>
      </c>
      <c r="N402" s="133" t="s">
        <v>591</v>
      </c>
      <c r="O402" s="133" t="s">
        <v>707</v>
      </c>
      <c r="P402" s="133" t="s">
        <v>1276</v>
      </c>
      <c r="Q402" s="133" t="s">
        <v>1536</v>
      </c>
      <c r="R402" s="325" t="s">
        <v>3988</v>
      </c>
    </row>
    <row r="403" spans="2:18">
      <c r="B403" s="182" t="str">
        <f t="shared" si="22"/>
        <v>Naložený clip</v>
      </c>
      <c r="M403" s="175" t="s">
        <v>646</v>
      </c>
      <c r="N403" s="133" t="s">
        <v>64</v>
      </c>
      <c r="O403" s="133" t="s">
        <v>216</v>
      </c>
      <c r="P403" s="133" t="s">
        <v>282</v>
      </c>
      <c r="Q403" s="133" t="s">
        <v>1448</v>
      </c>
      <c r="R403" s="325" t="s">
        <v>3839</v>
      </c>
    </row>
    <row r="404" spans="2:18">
      <c r="B404" s="182" t="str">
        <f t="shared" si="22"/>
        <v>Polonaložený clip</v>
      </c>
      <c r="M404" s="175" t="s">
        <v>647</v>
      </c>
      <c r="N404" s="133" t="s">
        <v>65</v>
      </c>
      <c r="O404" s="133" t="s">
        <v>217</v>
      </c>
      <c r="P404" s="133" t="s">
        <v>1242</v>
      </c>
      <c r="Q404" s="133" t="s">
        <v>1449</v>
      </c>
      <c r="R404" s="325" t="s">
        <v>3840</v>
      </c>
    </row>
    <row r="405" spans="2:18">
      <c r="B405" s="182" t="str">
        <f t="shared" si="22"/>
        <v>Vložený clip</v>
      </c>
      <c r="M405" s="175" t="s">
        <v>66</v>
      </c>
      <c r="N405" s="133" t="s">
        <v>66</v>
      </c>
      <c r="O405" s="133" t="s">
        <v>218</v>
      </c>
      <c r="P405" s="133" t="s">
        <v>1243</v>
      </c>
      <c r="Q405" s="133" t="s">
        <v>1450</v>
      </c>
      <c r="R405" s="325" t="s">
        <v>3841</v>
      </c>
    </row>
    <row r="406" spans="2:18">
      <c r="B406" s="182" t="str">
        <f t="shared" si="22"/>
        <v>naložený s tlmením clip 95°</v>
      </c>
      <c r="M406" s="175" t="s">
        <v>592</v>
      </c>
      <c r="N406" s="133" t="s">
        <v>708</v>
      </c>
      <c r="O406" s="133" t="s">
        <v>709</v>
      </c>
      <c r="P406" s="133" t="s">
        <v>830</v>
      </c>
      <c r="Q406" s="133" t="s">
        <v>1537</v>
      </c>
      <c r="R406" s="325" t="s">
        <v>3989</v>
      </c>
    </row>
    <row r="407" spans="2:18">
      <c r="B407" s="182" t="str">
        <f t="shared" si="22"/>
        <v>polonaložený s tlmením clip 95°</v>
      </c>
      <c r="M407" s="175" t="s">
        <v>593</v>
      </c>
      <c r="N407" s="133" t="s">
        <v>710</v>
      </c>
      <c r="O407" s="133" t="s">
        <v>711</v>
      </c>
      <c r="P407" s="133" t="s">
        <v>1277</v>
      </c>
      <c r="Q407" s="133" t="s">
        <v>1538</v>
      </c>
      <c r="R407" s="325" t="s">
        <v>3990</v>
      </c>
    </row>
    <row r="408" spans="2:18">
      <c r="B408" s="182" t="str">
        <f t="shared" si="22"/>
        <v>vložený s tlmením clip 95°</v>
      </c>
      <c r="M408" s="175" t="s">
        <v>594</v>
      </c>
      <c r="N408" s="133" t="s">
        <v>712</v>
      </c>
      <c r="O408" s="133" t="s">
        <v>713</v>
      </c>
      <c r="P408" s="133" t="s">
        <v>1278</v>
      </c>
      <c r="Q408" s="133" t="s">
        <v>1539</v>
      </c>
      <c r="R408" s="325" t="s">
        <v>3991</v>
      </c>
    </row>
    <row r="409" spans="2:18">
      <c r="B409" s="182" t="str">
        <f t="shared" si="22"/>
        <v>naložený TIP-ON clip 95°</v>
      </c>
      <c r="M409" s="175" t="s">
        <v>595</v>
      </c>
      <c r="N409" s="133" t="s">
        <v>595</v>
      </c>
      <c r="O409" s="133" t="s">
        <v>714</v>
      </c>
      <c r="P409" s="133" t="s">
        <v>831</v>
      </c>
      <c r="Q409" s="133" t="s">
        <v>1540</v>
      </c>
      <c r="R409" s="325" t="s">
        <v>3992</v>
      </c>
    </row>
    <row r="410" spans="2:18">
      <c r="B410" s="182" t="str">
        <f t="shared" si="22"/>
        <v>naložený TIP-ON clip 120°</v>
      </c>
      <c r="M410" s="175" t="s">
        <v>596</v>
      </c>
      <c r="N410" s="133" t="s">
        <v>596</v>
      </c>
      <c r="O410" s="133" t="s">
        <v>715</v>
      </c>
      <c r="P410" s="133" t="s">
        <v>832</v>
      </c>
      <c r="Q410" s="133" t="s">
        <v>1541</v>
      </c>
      <c r="R410" s="325" t="s">
        <v>3993</v>
      </c>
    </row>
    <row r="411" spans="2:18">
      <c r="B411" s="182" t="str">
        <f t="shared" si="22"/>
        <v>Clip na euroskrutku</v>
      </c>
      <c r="M411" s="175" t="s">
        <v>83</v>
      </c>
      <c r="N411" s="133" t="s">
        <v>175</v>
      </c>
      <c r="O411" s="133" t="s">
        <v>238</v>
      </c>
      <c r="P411" s="133" t="s">
        <v>300</v>
      </c>
      <c r="Q411" s="133" t="s">
        <v>1470</v>
      </c>
      <c r="R411" s="325" t="s">
        <v>3994</v>
      </c>
    </row>
    <row r="412" spans="2:18">
      <c r="B412" s="182" t="str">
        <f t="shared" si="22"/>
        <v>Clip na skrutku</v>
      </c>
      <c r="M412" s="175" t="s">
        <v>82</v>
      </c>
      <c r="N412" s="133" t="s">
        <v>176</v>
      </c>
      <c r="O412" s="133" t="s">
        <v>239</v>
      </c>
      <c r="P412" s="133" t="s">
        <v>301</v>
      </c>
      <c r="Q412" s="133" t="s">
        <v>1471</v>
      </c>
      <c r="R412" s="325" t="s">
        <v>3863</v>
      </c>
    </row>
    <row r="413" spans="2:18">
      <c r="B413" s="182" t="str">
        <f t="shared" si="22"/>
        <v>Zvýšená o 6 mm</v>
      </c>
      <c r="M413" s="175" t="s">
        <v>84</v>
      </c>
      <c r="N413" s="133" t="s">
        <v>177</v>
      </c>
      <c r="O413" s="133" t="s">
        <v>1303</v>
      </c>
      <c r="P413" s="133" t="s">
        <v>302</v>
      </c>
      <c r="Q413" s="133" t="s">
        <v>906</v>
      </c>
      <c r="R413" s="325" t="s">
        <v>3995</v>
      </c>
    </row>
    <row r="414" spans="2:18">
      <c r="B414" s="182" t="str">
        <f t="shared" si="22"/>
        <v>naložený k nasunutiu</v>
      </c>
      <c r="M414" s="133" t="s">
        <v>635</v>
      </c>
      <c r="N414" s="133" t="s">
        <v>716</v>
      </c>
      <c r="O414" s="133" t="s">
        <v>717</v>
      </c>
      <c r="P414" s="133" t="s">
        <v>1279</v>
      </c>
      <c r="Q414" s="133" t="s">
        <v>1542</v>
      </c>
      <c r="R414" s="325" t="s">
        <v>3996</v>
      </c>
    </row>
    <row r="415" spans="2:18">
      <c r="B415" s="182" t="str">
        <f t="shared" si="22"/>
        <v>polonaložený k nasunutiu</v>
      </c>
      <c r="M415" s="133" t="s">
        <v>636</v>
      </c>
      <c r="N415" s="133" t="s">
        <v>718</v>
      </c>
      <c r="O415" s="133" t="s">
        <v>719</v>
      </c>
      <c r="P415" s="133" t="s">
        <v>1280</v>
      </c>
      <c r="Q415" s="133" t="s">
        <v>1543</v>
      </c>
      <c r="R415" s="325" t="s">
        <v>3997</v>
      </c>
    </row>
    <row r="416" spans="2:18">
      <c r="B416" s="182" t="str">
        <f t="shared" si="22"/>
        <v>vložený k nasunutiu</v>
      </c>
      <c r="M416" s="133" t="s">
        <v>637</v>
      </c>
      <c r="N416" s="133" t="s">
        <v>720</v>
      </c>
      <c r="O416" s="133" t="s">
        <v>721</v>
      </c>
      <c r="P416" s="133" t="s">
        <v>1281</v>
      </c>
      <c r="Q416" s="133" t="s">
        <v>1544</v>
      </c>
      <c r="R416" s="325" t="s">
        <v>3998</v>
      </c>
    </row>
    <row r="417" spans="2:18">
      <c r="B417" s="182" t="str">
        <f t="shared" si="22"/>
        <v>STRONG 30N biely Automatický</v>
      </c>
      <c r="M417" s="133" t="s">
        <v>600</v>
      </c>
      <c r="N417" s="133" t="s">
        <v>722</v>
      </c>
      <c r="O417" s="133" t="s">
        <v>723</v>
      </c>
      <c r="P417" s="133" t="s">
        <v>724</v>
      </c>
      <c r="Q417" s="133" t="s">
        <v>919</v>
      </c>
      <c r="R417" t="s">
        <v>3999</v>
      </c>
    </row>
    <row r="418" spans="2:18">
      <c r="B418" s="182" t="str">
        <f t="shared" si="22"/>
        <v>STRONG 60N biely Automatický</v>
      </c>
      <c r="M418" s="133" t="s">
        <v>601</v>
      </c>
      <c r="N418" s="133" t="s">
        <v>725</v>
      </c>
      <c r="O418" s="133" t="s">
        <v>726</v>
      </c>
      <c r="P418" s="133" t="s">
        <v>727</v>
      </c>
      <c r="Q418" s="133" t="s">
        <v>920</v>
      </c>
      <c r="R418" t="s">
        <v>4000</v>
      </c>
    </row>
    <row r="419" spans="2:18">
      <c r="B419" s="182" t="str">
        <f t="shared" si="22"/>
        <v>STRONG 80N biely Automatický</v>
      </c>
      <c r="M419" s="133" t="s">
        <v>602</v>
      </c>
      <c r="N419" s="133" t="s">
        <v>728</v>
      </c>
      <c r="O419" s="133" t="s">
        <v>729</v>
      </c>
      <c r="P419" s="133" t="s">
        <v>730</v>
      </c>
      <c r="Q419" s="133" t="s">
        <v>921</v>
      </c>
      <c r="R419" t="s">
        <v>4001</v>
      </c>
    </row>
    <row r="420" spans="2:18">
      <c r="B420" s="182" t="str">
        <f t="shared" si="22"/>
        <v>STRONG 100N biely Automatický</v>
      </c>
      <c r="M420" s="133" t="s">
        <v>603</v>
      </c>
      <c r="N420" s="133" t="s">
        <v>731</v>
      </c>
      <c r="O420" s="133" t="s">
        <v>732</v>
      </c>
      <c r="P420" s="133" t="s">
        <v>733</v>
      </c>
      <c r="Q420" s="133" t="s">
        <v>922</v>
      </c>
      <c r="R420" t="s">
        <v>4002</v>
      </c>
    </row>
    <row r="421" spans="2:18">
      <c r="B421" s="182" t="str">
        <f t="shared" si="22"/>
        <v>STRONG 120N biely Automatický</v>
      </c>
      <c r="M421" s="133" t="s">
        <v>604</v>
      </c>
      <c r="N421" s="133" t="s">
        <v>734</v>
      </c>
      <c r="O421" s="133" t="s">
        <v>735</v>
      </c>
      <c r="P421" s="133" t="s">
        <v>736</v>
      </c>
      <c r="Q421" s="133" t="s">
        <v>923</v>
      </c>
      <c r="R421" t="s">
        <v>4003</v>
      </c>
    </row>
    <row r="422" spans="2:18">
      <c r="B422" s="182" t="str">
        <f t="shared" si="22"/>
        <v>STRONG 60N biely Polohovací</v>
      </c>
      <c r="M422" s="133" t="s">
        <v>605</v>
      </c>
      <c r="N422" s="133" t="s">
        <v>737</v>
      </c>
      <c r="O422" s="133" t="s">
        <v>738</v>
      </c>
      <c r="P422" s="133" t="s">
        <v>739</v>
      </c>
      <c r="Q422" s="133" t="s">
        <v>1545</v>
      </c>
      <c r="R422" t="s">
        <v>4004</v>
      </c>
    </row>
    <row r="423" spans="2:18">
      <c r="B423" s="182" t="str">
        <f t="shared" si="22"/>
        <v>STRONG 80N biely Polohovací</v>
      </c>
      <c r="M423" s="133" t="s">
        <v>606</v>
      </c>
      <c r="N423" s="133" t="s">
        <v>740</v>
      </c>
      <c r="O423" s="133" t="s">
        <v>741</v>
      </c>
      <c r="P423" s="133" t="s">
        <v>742</v>
      </c>
      <c r="Q423" s="133" t="s">
        <v>1546</v>
      </c>
      <c r="R423" t="s">
        <v>4005</v>
      </c>
    </row>
    <row r="424" spans="2:18">
      <c r="B424" s="182" t="str">
        <f t="shared" si="22"/>
        <v>STRONG 100N biely Polohovací</v>
      </c>
      <c r="M424" s="133" t="s">
        <v>607</v>
      </c>
      <c r="N424" s="133" t="s">
        <v>743</v>
      </c>
      <c r="O424" s="133" t="s">
        <v>744</v>
      </c>
      <c r="P424" s="133" t="s">
        <v>745</v>
      </c>
      <c r="Q424" s="133" t="s">
        <v>1547</v>
      </c>
      <c r="R424" t="s">
        <v>4006</v>
      </c>
    </row>
    <row r="425" spans="2:18">
      <c r="B425" s="182" t="str">
        <f t="shared" si="22"/>
        <v>STRONG 120N biely Polohovací</v>
      </c>
      <c r="M425" s="133" t="s">
        <v>608</v>
      </c>
      <c r="N425" s="133" t="s">
        <v>746</v>
      </c>
      <c r="O425" s="133" t="s">
        <v>747</v>
      </c>
      <c r="P425" s="133" t="s">
        <v>748</v>
      </c>
      <c r="Q425" s="133" t="s">
        <v>1548</v>
      </c>
      <c r="R425" t="s">
        <v>4007</v>
      </c>
    </row>
    <row r="426" spans="2:18">
      <c r="B426" s="182" t="str">
        <f t="shared" ref="B426:B489" si="23">IF($D$1=1,M426,IF($D$1=2,N426,IF($D$1=3,O426,IF($D$1=4,P426,IF($D$1=5,Q426,IF($D$1=6,R426,0))))))</f>
        <v>STRONG 30N šedý Automatický</v>
      </c>
      <c r="M426" s="133" t="s">
        <v>609</v>
      </c>
      <c r="N426" s="133" t="s">
        <v>609</v>
      </c>
      <c r="O426" s="133" t="s">
        <v>749</v>
      </c>
      <c r="P426" s="133" t="s">
        <v>750</v>
      </c>
      <c r="Q426" s="133" t="s">
        <v>1388</v>
      </c>
      <c r="R426" s="325" t="s">
        <v>4008</v>
      </c>
    </row>
    <row r="427" spans="2:18">
      <c r="B427" s="182" t="str">
        <f t="shared" si="23"/>
        <v>STRONG 60N šedý Automatický</v>
      </c>
      <c r="M427" s="133" t="s">
        <v>610</v>
      </c>
      <c r="N427" s="133" t="s">
        <v>610</v>
      </c>
      <c r="O427" s="133" t="s">
        <v>751</v>
      </c>
      <c r="P427" s="133" t="s">
        <v>752</v>
      </c>
      <c r="Q427" s="133" t="s">
        <v>924</v>
      </c>
      <c r="R427" s="325" t="s">
        <v>4009</v>
      </c>
    </row>
    <row r="428" spans="2:18">
      <c r="B428" s="182" t="str">
        <f t="shared" si="23"/>
        <v>STRONG 80N šedý Automatický</v>
      </c>
      <c r="M428" s="133" t="s">
        <v>611</v>
      </c>
      <c r="N428" s="133" t="s">
        <v>611</v>
      </c>
      <c r="O428" s="133" t="s">
        <v>753</v>
      </c>
      <c r="P428" s="133" t="s">
        <v>754</v>
      </c>
      <c r="Q428" s="133" t="s">
        <v>1389</v>
      </c>
      <c r="R428" s="325" t="s">
        <v>4010</v>
      </c>
    </row>
    <row r="429" spans="2:18">
      <c r="B429" s="182" t="str">
        <f t="shared" si="23"/>
        <v>STRONG 100N šedý Automatický</v>
      </c>
      <c r="M429" s="133" t="s">
        <v>612</v>
      </c>
      <c r="N429" s="133" t="s">
        <v>612</v>
      </c>
      <c r="O429" s="133" t="s">
        <v>755</v>
      </c>
      <c r="P429" s="133" t="s">
        <v>756</v>
      </c>
      <c r="Q429" s="133" t="s">
        <v>925</v>
      </c>
      <c r="R429" s="325" t="s">
        <v>4011</v>
      </c>
    </row>
    <row r="430" spans="2:18">
      <c r="B430" s="182" t="str">
        <f t="shared" si="23"/>
        <v>STRONG 120N šedý Automatický</v>
      </c>
      <c r="M430" s="133" t="s">
        <v>613</v>
      </c>
      <c r="N430" s="133" t="s">
        <v>613</v>
      </c>
      <c r="O430" s="133" t="s">
        <v>757</v>
      </c>
      <c r="P430" s="133" t="s">
        <v>758</v>
      </c>
      <c r="Q430" s="133" t="s">
        <v>926</v>
      </c>
      <c r="R430" s="325" t="s">
        <v>4012</v>
      </c>
    </row>
    <row r="431" spans="2:18">
      <c r="B431" s="182" t="str">
        <f t="shared" si="23"/>
        <v>STRONG 60N šedý Polohovací</v>
      </c>
      <c r="M431" s="133" t="s">
        <v>614</v>
      </c>
      <c r="N431" s="133" t="s">
        <v>614</v>
      </c>
      <c r="O431" s="133" t="s">
        <v>759</v>
      </c>
      <c r="P431" s="133" t="s">
        <v>760</v>
      </c>
      <c r="Q431" s="133" t="s">
        <v>1549</v>
      </c>
      <c r="R431" s="325" t="s">
        <v>4013</v>
      </c>
    </row>
    <row r="432" spans="2:18">
      <c r="B432" s="182" t="str">
        <f t="shared" si="23"/>
        <v>STRONG 80N šedý Polohovací</v>
      </c>
      <c r="M432" s="133" t="s">
        <v>615</v>
      </c>
      <c r="N432" s="133" t="s">
        <v>615</v>
      </c>
      <c r="O432" s="133" t="s">
        <v>761</v>
      </c>
      <c r="P432" s="133" t="s">
        <v>762</v>
      </c>
      <c r="Q432" s="133" t="s">
        <v>1550</v>
      </c>
      <c r="R432" s="325" t="s">
        <v>4014</v>
      </c>
    </row>
    <row r="433" spans="2:18">
      <c r="B433" s="182" t="str">
        <f t="shared" si="23"/>
        <v>STRONG 100N šedý Polohovací</v>
      </c>
      <c r="M433" s="133" t="s">
        <v>616</v>
      </c>
      <c r="N433" s="133" t="s">
        <v>616</v>
      </c>
      <c r="O433" s="133" t="s">
        <v>763</v>
      </c>
      <c r="P433" s="133" t="s">
        <v>764</v>
      </c>
      <c r="Q433" s="133" t="s">
        <v>1551</v>
      </c>
      <c r="R433" s="325" t="s">
        <v>4015</v>
      </c>
    </row>
    <row r="434" spans="2:18">
      <c r="B434" s="182" t="str">
        <f t="shared" si="23"/>
        <v>STRONG 120N šedý Polohovací</v>
      </c>
      <c r="M434" s="133" t="s">
        <v>617</v>
      </c>
      <c r="N434" s="133" t="s">
        <v>617</v>
      </c>
      <c r="O434" s="133" t="s">
        <v>765</v>
      </c>
      <c r="P434" s="133" t="s">
        <v>766</v>
      </c>
      <c r="Q434" s="133" t="s">
        <v>1390</v>
      </c>
      <c r="R434" s="325" t="s">
        <v>4016</v>
      </c>
    </row>
    <row r="435" spans="2:18">
      <c r="B435" s="182" t="str">
        <f t="shared" si="23"/>
        <v>HUWIL DUO</v>
      </c>
      <c r="M435" s="133" t="s">
        <v>618</v>
      </c>
      <c r="N435" s="133" t="s">
        <v>618</v>
      </c>
      <c r="O435" s="133" t="s">
        <v>618</v>
      </c>
      <c r="P435" s="133" t="s">
        <v>618</v>
      </c>
      <c r="Q435" s="133" t="s">
        <v>618</v>
      </c>
      <c r="R435" s="133" t="s">
        <v>618</v>
      </c>
    </row>
    <row r="436" spans="2:18">
      <c r="B436" s="182" t="str">
        <f t="shared" si="23"/>
        <v>HUWIL DUO FORTE</v>
      </c>
      <c r="M436" s="133" t="s">
        <v>619</v>
      </c>
      <c r="N436" s="133" t="s">
        <v>619</v>
      </c>
      <c r="O436" s="133" t="s">
        <v>619</v>
      </c>
      <c r="P436" s="133" t="s">
        <v>619</v>
      </c>
      <c r="Q436" s="133" t="s">
        <v>619</v>
      </c>
      <c r="R436" s="133" t="s">
        <v>619</v>
      </c>
    </row>
    <row r="437" spans="2:18">
      <c r="B437" s="182" t="str">
        <f t="shared" si="23"/>
        <v>HUWILIFT MAXI</v>
      </c>
      <c r="M437" s="133" t="s">
        <v>620</v>
      </c>
      <c r="N437" s="133" t="s">
        <v>620</v>
      </c>
      <c r="O437" s="133" t="s">
        <v>620</v>
      </c>
      <c r="P437" s="133" t="s">
        <v>620</v>
      </c>
      <c r="Q437" s="133" t="s">
        <v>620</v>
      </c>
      <c r="R437" s="133" t="s">
        <v>620</v>
      </c>
    </row>
    <row r="438" spans="2:18">
      <c r="B438" s="182" t="str">
        <f t="shared" si="23"/>
        <v>KRABY 164 45N</v>
      </c>
      <c r="M438" s="133" t="s">
        <v>415</v>
      </c>
      <c r="N438" s="133" t="s">
        <v>415</v>
      </c>
      <c r="O438" s="133" t="s">
        <v>415</v>
      </c>
      <c r="P438" s="133" t="s">
        <v>415</v>
      </c>
      <c r="Q438" s="133" t="s">
        <v>415</v>
      </c>
      <c r="R438" s="133" t="s">
        <v>415</v>
      </c>
    </row>
    <row r="439" spans="2:18">
      <c r="B439" s="182" t="str">
        <f t="shared" si="23"/>
        <v>KRABY 164 60N</v>
      </c>
      <c r="M439" s="133" t="s">
        <v>416</v>
      </c>
      <c r="N439" s="133" t="s">
        <v>416</v>
      </c>
      <c r="O439" s="133" t="s">
        <v>416</v>
      </c>
      <c r="P439" s="133" t="s">
        <v>416</v>
      </c>
      <c r="Q439" s="133" t="s">
        <v>416</v>
      </c>
      <c r="R439" s="133" t="s">
        <v>416</v>
      </c>
    </row>
    <row r="440" spans="2:18">
      <c r="B440" s="182" t="str">
        <f t="shared" si="23"/>
        <v>KRABY 244 45N</v>
      </c>
      <c r="M440" s="133" t="s">
        <v>417</v>
      </c>
      <c r="N440" s="133" t="s">
        <v>417</v>
      </c>
      <c r="O440" s="133" t="s">
        <v>417</v>
      </c>
      <c r="P440" s="133" t="s">
        <v>417</v>
      </c>
      <c r="Q440" s="133" t="s">
        <v>417</v>
      </c>
      <c r="R440" s="133" t="s">
        <v>417</v>
      </c>
    </row>
    <row r="441" spans="2:18">
      <c r="B441" s="182" t="str">
        <f t="shared" si="23"/>
        <v>KRABY 244 60N</v>
      </c>
      <c r="M441" s="133" t="s">
        <v>418</v>
      </c>
      <c r="N441" s="133" t="s">
        <v>418</v>
      </c>
      <c r="O441" s="133" t="s">
        <v>418</v>
      </c>
      <c r="P441" s="133" t="s">
        <v>418</v>
      </c>
      <c r="Q441" s="133" t="s">
        <v>418</v>
      </c>
      <c r="R441" s="133" t="s">
        <v>418</v>
      </c>
    </row>
    <row r="442" spans="2:18">
      <c r="B442" s="182" t="str">
        <f t="shared" si="23"/>
        <v>KRABY 244 90N</v>
      </c>
      <c r="M442" s="133" t="s">
        <v>419</v>
      </c>
      <c r="N442" s="133" t="s">
        <v>419</v>
      </c>
      <c r="O442" s="133" t="s">
        <v>419</v>
      </c>
      <c r="P442" s="133" t="s">
        <v>419</v>
      </c>
      <c r="Q442" s="133" t="s">
        <v>419</v>
      </c>
      <c r="R442" s="133" t="s">
        <v>419</v>
      </c>
    </row>
    <row r="443" spans="2:18">
      <c r="B443" s="182" t="str">
        <f t="shared" si="23"/>
        <v>KRABY 244 120N</v>
      </c>
      <c r="M443" s="133" t="s">
        <v>420</v>
      </c>
      <c r="N443" s="133" t="s">
        <v>420</v>
      </c>
      <c r="O443" s="133" t="s">
        <v>420</v>
      </c>
      <c r="P443" s="133" t="s">
        <v>420</v>
      </c>
      <c r="Q443" s="133" t="s">
        <v>420</v>
      </c>
      <c r="R443" s="133" t="s">
        <v>420</v>
      </c>
    </row>
    <row r="444" spans="2:18">
      <c r="B444" s="182" t="str">
        <f t="shared" si="23"/>
        <v>KRABY 355 45N</v>
      </c>
      <c r="M444" s="133" t="s">
        <v>421</v>
      </c>
      <c r="N444" s="133" t="s">
        <v>421</v>
      </c>
      <c r="O444" s="133" t="s">
        <v>421</v>
      </c>
      <c r="P444" s="133" t="s">
        <v>421</v>
      </c>
      <c r="Q444" s="133" t="s">
        <v>421</v>
      </c>
      <c r="R444" s="133" t="s">
        <v>421</v>
      </c>
    </row>
    <row r="445" spans="2:18">
      <c r="B445" s="182" t="str">
        <f t="shared" si="23"/>
        <v>KRABY 355 60N</v>
      </c>
      <c r="M445" s="133" t="s">
        <v>422</v>
      </c>
      <c r="N445" s="133" t="s">
        <v>422</v>
      </c>
      <c r="O445" s="133" t="s">
        <v>422</v>
      </c>
      <c r="P445" s="133" t="s">
        <v>422</v>
      </c>
      <c r="Q445" s="133" t="s">
        <v>422</v>
      </c>
      <c r="R445" s="133" t="s">
        <v>422</v>
      </c>
    </row>
    <row r="446" spans="2:18">
      <c r="B446" s="182" t="str">
        <f t="shared" si="23"/>
        <v>KRABY 355 90N</v>
      </c>
      <c r="M446" s="133" t="s">
        <v>423</v>
      </c>
      <c r="N446" s="133" t="s">
        <v>423</v>
      </c>
      <c r="O446" s="133" t="s">
        <v>423</v>
      </c>
      <c r="P446" s="133" t="s">
        <v>423</v>
      </c>
      <c r="Q446" s="133" t="s">
        <v>423</v>
      </c>
      <c r="R446" s="133" t="s">
        <v>423</v>
      </c>
    </row>
    <row r="447" spans="2:18">
      <c r="B447" s="182" t="str">
        <f t="shared" si="23"/>
        <v>KRABY 355 120N</v>
      </c>
      <c r="M447" s="133" t="s">
        <v>424</v>
      </c>
      <c r="N447" s="133" t="s">
        <v>424</v>
      </c>
      <c r="O447" s="133" t="s">
        <v>424</v>
      </c>
      <c r="P447" s="133" t="s">
        <v>424</v>
      </c>
      <c r="Q447" s="133" t="s">
        <v>424</v>
      </c>
      <c r="R447" s="133" t="s">
        <v>424</v>
      </c>
    </row>
    <row r="448" spans="2:18">
      <c r="B448" s="182" t="str">
        <f t="shared" si="23"/>
        <v>K12 244 50N</v>
      </c>
      <c r="M448" s="133" t="s">
        <v>621</v>
      </c>
      <c r="N448" s="133" t="s">
        <v>621</v>
      </c>
      <c r="O448" s="133" t="s">
        <v>621</v>
      </c>
      <c r="P448" s="133" t="s">
        <v>621</v>
      </c>
      <c r="Q448" s="133" t="s">
        <v>621</v>
      </c>
      <c r="R448" s="133" t="s">
        <v>621</v>
      </c>
    </row>
    <row r="449" spans="2:18">
      <c r="B449" s="182" t="str">
        <f t="shared" si="23"/>
        <v>K12 244 80N</v>
      </c>
      <c r="M449" s="133" t="s">
        <v>622</v>
      </c>
      <c r="N449" s="133" t="s">
        <v>622</v>
      </c>
      <c r="O449" s="133" t="s">
        <v>622</v>
      </c>
      <c r="P449" s="133" t="s">
        <v>622</v>
      </c>
      <c r="Q449" s="133" t="s">
        <v>622</v>
      </c>
      <c r="R449" s="133" t="s">
        <v>622</v>
      </c>
    </row>
    <row r="450" spans="2:18">
      <c r="B450" s="182" t="str">
        <f t="shared" si="23"/>
        <v>K12 244 100N</v>
      </c>
      <c r="M450" s="133" t="s">
        <v>623</v>
      </c>
      <c r="N450" s="133" t="s">
        <v>623</v>
      </c>
      <c r="O450" s="133" t="s">
        <v>623</v>
      </c>
      <c r="P450" s="133" t="s">
        <v>623</v>
      </c>
      <c r="Q450" s="133" t="s">
        <v>623</v>
      </c>
      <c r="R450" s="133" t="s">
        <v>623</v>
      </c>
    </row>
    <row r="451" spans="2:18">
      <c r="B451" s="182" t="str">
        <f t="shared" si="23"/>
        <v>K12 244 120N</v>
      </c>
      <c r="M451" s="133" t="s">
        <v>624</v>
      </c>
      <c r="N451" s="133" t="s">
        <v>624</v>
      </c>
      <c r="O451" s="133" t="s">
        <v>624</v>
      </c>
      <c r="P451" s="133" t="s">
        <v>624</v>
      </c>
      <c r="Q451" s="133" t="s">
        <v>624</v>
      </c>
      <c r="R451" s="133" t="s">
        <v>624</v>
      </c>
    </row>
    <row r="452" spans="2:18">
      <c r="B452" s="182" t="str">
        <f t="shared" si="23"/>
        <v>K12 355 60N</v>
      </c>
      <c r="M452" s="133" t="s">
        <v>625</v>
      </c>
      <c r="N452" s="133" t="s">
        <v>625</v>
      </c>
      <c r="O452" s="133" t="s">
        <v>625</v>
      </c>
      <c r="P452" s="133" t="s">
        <v>625</v>
      </c>
      <c r="Q452" s="133" t="s">
        <v>625</v>
      </c>
      <c r="R452" s="133" t="s">
        <v>625</v>
      </c>
    </row>
    <row r="453" spans="2:18">
      <c r="B453" s="182" t="str">
        <f t="shared" si="23"/>
        <v>K12 355 90N</v>
      </c>
      <c r="M453" s="133" t="s">
        <v>626</v>
      </c>
      <c r="N453" s="133" t="s">
        <v>626</v>
      </c>
      <c r="O453" s="133" t="s">
        <v>626</v>
      </c>
      <c r="P453" s="133" t="s">
        <v>626</v>
      </c>
      <c r="Q453" s="133" t="s">
        <v>626</v>
      </c>
      <c r="R453" s="133" t="s">
        <v>626</v>
      </c>
    </row>
    <row r="454" spans="2:18">
      <c r="B454" s="182" t="str">
        <f t="shared" si="23"/>
        <v>K12 355 110N</v>
      </c>
      <c r="M454" s="133" t="s">
        <v>627</v>
      </c>
      <c r="N454" s="133" t="s">
        <v>627</v>
      </c>
      <c r="O454" s="133" t="s">
        <v>627</v>
      </c>
      <c r="P454" s="133" t="s">
        <v>627</v>
      </c>
      <c r="Q454" s="133" t="s">
        <v>627</v>
      </c>
      <c r="R454" s="133" t="s">
        <v>627</v>
      </c>
    </row>
    <row r="455" spans="2:18">
      <c r="B455" s="182" t="str">
        <f t="shared" si="23"/>
        <v>K12 355 130N</v>
      </c>
      <c r="M455" s="133" t="s">
        <v>628</v>
      </c>
      <c r="N455" s="133" t="s">
        <v>628</v>
      </c>
      <c r="O455" s="133" t="s">
        <v>628</v>
      </c>
      <c r="P455" s="133" t="s">
        <v>628</v>
      </c>
      <c r="Q455" s="133" t="s">
        <v>628</v>
      </c>
      <c r="R455" s="133" t="s">
        <v>628</v>
      </c>
    </row>
    <row r="456" spans="2:18">
      <c r="B456" s="182" t="str">
        <f t="shared" si="23"/>
        <v>STRONG spodný biely</v>
      </c>
      <c r="M456" s="133" t="s">
        <v>629</v>
      </c>
      <c r="N456" s="133" t="s">
        <v>767</v>
      </c>
      <c r="O456" s="133" t="s">
        <v>768</v>
      </c>
      <c r="P456" s="133" t="s">
        <v>769</v>
      </c>
      <c r="Q456" s="133" t="s">
        <v>1552</v>
      </c>
      <c r="R456" s="325" t="s">
        <v>4217</v>
      </c>
    </row>
    <row r="457" spans="2:18">
      <c r="B457" s="182" t="str">
        <f t="shared" si="23"/>
        <v>STRONG spodný šedý</v>
      </c>
      <c r="M457" s="133" t="s">
        <v>3279</v>
      </c>
      <c r="N457" s="133" t="s">
        <v>770</v>
      </c>
      <c r="O457" s="133" t="s">
        <v>771</v>
      </c>
      <c r="P457" s="133" t="s">
        <v>772</v>
      </c>
      <c r="Q457" s="133" t="s">
        <v>1553</v>
      </c>
      <c r="R457" s="325" t="s">
        <v>4218</v>
      </c>
    </row>
    <row r="458" spans="2:18">
      <c r="B458" s="182" t="str">
        <f t="shared" si="23"/>
        <v xml:space="preserve">HUWIL DUO (90°) </v>
      </c>
      <c r="M458" s="133" t="s">
        <v>631</v>
      </c>
      <c r="N458" s="133" t="s">
        <v>631</v>
      </c>
      <c r="O458" s="133" t="s">
        <v>631</v>
      </c>
      <c r="P458" s="133" t="s">
        <v>631</v>
      </c>
      <c r="Q458" s="133" t="s">
        <v>468</v>
      </c>
      <c r="R458" s="325" t="s">
        <v>468</v>
      </c>
    </row>
    <row r="459" spans="2:18">
      <c r="B459" s="182" t="str">
        <f t="shared" si="23"/>
        <v>HUWIL DUO FORTE</v>
      </c>
      <c r="M459" s="133" t="s">
        <v>619</v>
      </c>
      <c r="N459" s="133" t="s">
        <v>619</v>
      </c>
      <c r="O459" s="133" t="s">
        <v>619</v>
      </c>
      <c r="P459" s="133" t="s">
        <v>619</v>
      </c>
      <c r="Q459" s="133" t="s">
        <v>619</v>
      </c>
      <c r="R459" s="325" t="s">
        <v>619</v>
      </c>
    </row>
    <row r="460" spans="2:18">
      <c r="B460" s="182" t="str">
        <f t="shared" si="23"/>
        <v>KRABY 164 spodný</v>
      </c>
      <c r="M460" s="133" t="s">
        <v>632</v>
      </c>
      <c r="N460" s="133" t="s">
        <v>773</v>
      </c>
      <c r="O460" s="133" t="s">
        <v>774</v>
      </c>
      <c r="P460" s="133" t="s">
        <v>775</v>
      </c>
      <c r="Q460" s="133" t="s">
        <v>1391</v>
      </c>
      <c r="R460" s="325" t="s">
        <v>4219</v>
      </c>
    </row>
    <row r="461" spans="2:18">
      <c r="B461" s="182" t="str">
        <f t="shared" si="23"/>
        <v>KRABY 244 spodný</v>
      </c>
      <c r="M461" s="133" t="s">
        <v>633</v>
      </c>
      <c r="N461" s="133" t="s">
        <v>776</v>
      </c>
      <c r="O461" s="133" t="s">
        <v>777</v>
      </c>
      <c r="P461" s="133" t="s">
        <v>778</v>
      </c>
      <c r="Q461" s="133" t="s">
        <v>1392</v>
      </c>
      <c r="R461" s="325" t="s">
        <v>4220</v>
      </c>
    </row>
    <row r="462" spans="2:18">
      <c r="B462" s="182" t="str">
        <f t="shared" si="23"/>
        <v>KRABY 355 spodný</v>
      </c>
      <c r="M462" s="133" t="s">
        <v>634</v>
      </c>
      <c r="N462" s="133" t="s">
        <v>779</v>
      </c>
      <c r="O462" s="133" t="s">
        <v>780</v>
      </c>
      <c r="P462" s="133" t="s">
        <v>781</v>
      </c>
      <c r="Q462" s="133" t="s">
        <v>1393</v>
      </c>
      <c r="R462" s="325" t="s">
        <v>4221</v>
      </c>
    </row>
    <row r="463" spans="2:18">
      <c r="B463" s="182" t="str">
        <f t="shared" si="23"/>
        <v>STRONG 30N biely Automatický</v>
      </c>
      <c r="M463" s="133" t="s">
        <v>600</v>
      </c>
      <c r="N463" s="133" t="s">
        <v>722</v>
      </c>
      <c r="O463" s="133" t="s">
        <v>723</v>
      </c>
      <c r="P463" s="133" t="s">
        <v>724</v>
      </c>
      <c r="Q463" s="133" t="s">
        <v>919</v>
      </c>
      <c r="R463" s="325" t="s">
        <v>3999</v>
      </c>
    </row>
    <row r="464" spans="2:18">
      <c r="B464" s="182" t="str">
        <f t="shared" si="23"/>
        <v>STRONG 60N biely Automatický</v>
      </c>
      <c r="M464" s="133" t="s">
        <v>601</v>
      </c>
      <c r="N464" s="133" t="s">
        <v>725</v>
      </c>
      <c r="O464" s="133" t="s">
        <v>726</v>
      </c>
      <c r="P464" s="133" t="s">
        <v>727</v>
      </c>
      <c r="Q464" s="133" t="s">
        <v>920</v>
      </c>
      <c r="R464" s="325" t="s">
        <v>4000</v>
      </c>
    </row>
    <row r="465" spans="2:18">
      <c r="B465" s="182" t="str">
        <f t="shared" si="23"/>
        <v>STRONG 80N biely Automatický</v>
      </c>
      <c r="M465" s="133" t="s">
        <v>602</v>
      </c>
      <c r="N465" s="133" t="s">
        <v>728</v>
      </c>
      <c r="O465" s="133" t="s">
        <v>729</v>
      </c>
      <c r="P465" s="133" t="s">
        <v>730</v>
      </c>
      <c r="Q465" s="133" t="s">
        <v>921</v>
      </c>
      <c r="R465" s="325" t="s">
        <v>4001</v>
      </c>
    </row>
    <row r="466" spans="2:18">
      <c r="B466" s="182" t="str">
        <f t="shared" si="23"/>
        <v>STRONG 100N biely Automatický</v>
      </c>
      <c r="M466" s="133" t="s">
        <v>603</v>
      </c>
      <c r="N466" s="133" t="s">
        <v>731</v>
      </c>
      <c r="O466" s="133" t="s">
        <v>732</v>
      </c>
      <c r="P466" s="133" t="s">
        <v>733</v>
      </c>
      <c r="Q466" s="133" t="s">
        <v>922</v>
      </c>
      <c r="R466" s="325" t="s">
        <v>4002</v>
      </c>
    </row>
    <row r="467" spans="2:18">
      <c r="B467" s="182" t="str">
        <f t="shared" si="23"/>
        <v>STRONG 120N biely Automatický</v>
      </c>
      <c r="M467" s="133" t="s">
        <v>604</v>
      </c>
      <c r="N467" s="133" t="s">
        <v>734</v>
      </c>
      <c r="O467" s="133" t="s">
        <v>735</v>
      </c>
      <c r="P467" s="133" t="s">
        <v>736</v>
      </c>
      <c r="Q467" s="133" t="s">
        <v>923</v>
      </c>
      <c r="R467" s="325" t="s">
        <v>4003</v>
      </c>
    </row>
    <row r="468" spans="2:18">
      <c r="B468" s="182" t="str">
        <f t="shared" si="23"/>
        <v>STRONG 60N biely Polohovací</v>
      </c>
      <c r="M468" s="133" t="s">
        <v>605</v>
      </c>
      <c r="N468" s="133" t="s">
        <v>737</v>
      </c>
      <c r="O468" s="133" t="s">
        <v>738</v>
      </c>
      <c r="P468" s="133" t="s">
        <v>739</v>
      </c>
      <c r="Q468" s="133" t="s">
        <v>1545</v>
      </c>
      <c r="R468" s="325" t="s">
        <v>4004</v>
      </c>
    </row>
    <row r="469" spans="2:18">
      <c r="B469" s="182" t="str">
        <f t="shared" si="23"/>
        <v>STRONG 80N biely Polohovací</v>
      </c>
      <c r="M469" s="133" t="s">
        <v>606</v>
      </c>
      <c r="N469" s="133" t="s">
        <v>740</v>
      </c>
      <c r="O469" s="133" t="s">
        <v>741</v>
      </c>
      <c r="P469" s="133" t="s">
        <v>742</v>
      </c>
      <c r="Q469" s="133" t="s">
        <v>1546</v>
      </c>
      <c r="R469" s="325" t="s">
        <v>4005</v>
      </c>
    </row>
    <row r="470" spans="2:18">
      <c r="B470" s="182" t="str">
        <f t="shared" si="23"/>
        <v>STRONG 100N biely Polohovací</v>
      </c>
      <c r="M470" s="133" t="s">
        <v>607</v>
      </c>
      <c r="N470" s="133" t="s">
        <v>743</v>
      </c>
      <c r="O470" s="133" t="s">
        <v>744</v>
      </c>
      <c r="P470" s="133" t="s">
        <v>745</v>
      </c>
      <c r="Q470" s="133" t="s">
        <v>1547</v>
      </c>
      <c r="R470" s="325" t="s">
        <v>4006</v>
      </c>
    </row>
    <row r="471" spans="2:18">
      <c r="B471" s="182" t="str">
        <f t="shared" si="23"/>
        <v>STRONG 120N biely Polohovací</v>
      </c>
      <c r="M471" s="133" t="s">
        <v>608</v>
      </c>
      <c r="N471" s="133" t="s">
        <v>746</v>
      </c>
      <c r="O471" s="133" t="s">
        <v>747</v>
      </c>
      <c r="P471" s="133" t="s">
        <v>748</v>
      </c>
      <c r="Q471" s="133" t="s">
        <v>1548</v>
      </c>
      <c r="R471" s="325" t="s">
        <v>4007</v>
      </c>
    </row>
    <row r="472" spans="2:18">
      <c r="B472" s="182" t="str">
        <f t="shared" si="23"/>
        <v>STRONG 30N šedý Automatický</v>
      </c>
      <c r="M472" s="133" t="s">
        <v>609</v>
      </c>
      <c r="N472" s="133" t="s">
        <v>609</v>
      </c>
      <c r="O472" s="133" t="s">
        <v>749</v>
      </c>
      <c r="P472" s="133" t="s">
        <v>750</v>
      </c>
      <c r="Q472" s="133" t="s">
        <v>1388</v>
      </c>
      <c r="R472" s="325" t="s">
        <v>4008</v>
      </c>
    </row>
    <row r="473" spans="2:18">
      <c r="B473" s="182" t="str">
        <f t="shared" si="23"/>
        <v>STRONG 60N šedý Automatický</v>
      </c>
      <c r="M473" s="133" t="s">
        <v>610</v>
      </c>
      <c r="N473" s="133" t="s">
        <v>610</v>
      </c>
      <c r="O473" s="133" t="s">
        <v>751</v>
      </c>
      <c r="P473" s="133" t="s">
        <v>752</v>
      </c>
      <c r="Q473" s="133" t="s">
        <v>924</v>
      </c>
      <c r="R473" s="325" t="s">
        <v>4009</v>
      </c>
    </row>
    <row r="474" spans="2:18">
      <c r="B474" s="182" t="str">
        <f t="shared" si="23"/>
        <v>STRONG 80N šedý Automatický</v>
      </c>
      <c r="M474" s="133" t="s">
        <v>611</v>
      </c>
      <c r="N474" s="133" t="s">
        <v>611</v>
      </c>
      <c r="O474" s="133" t="s">
        <v>753</v>
      </c>
      <c r="P474" s="133" t="s">
        <v>754</v>
      </c>
      <c r="Q474" s="133" t="s">
        <v>1389</v>
      </c>
      <c r="R474" s="325" t="s">
        <v>4010</v>
      </c>
    </row>
    <row r="475" spans="2:18">
      <c r="B475" s="182" t="str">
        <f t="shared" si="23"/>
        <v>STRONG 100N šedý Automatický</v>
      </c>
      <c r="M475" s="133" t="s">
        <v>612</v>
      </c>
      <c r="N475" s="133" t="s">
        <v>612</v>
      </c>
      <c r="O475" s="133" t="s">
        <v>755</v>
      </c>
      <c r="P475" s="133" t="s">
        <v>756</v>
      </c>
      <c r="Q475" s="133" t="s">
        <v>925</v>
      </c>
      <c r="R475" s="325" t="s">
        <v>4011</v>
      </c>
    </row>
    <row r="476" spans="2:18">
      <c r="B476" s="182" t="str">
        <f t="shared" si="23"/>
        <v>STRONG 120N šedý Automatický</v>
      </c>
      <c r="M476" s="133" t="s">
        <v>613</v>
      </c>
      <c r="N476" s="133" t="s">
        <v>613</v>
      </c>
      <c r="O476" s="133" t="s">
        <v>757</v>
      </c>
      <c r="P476" s="133" t="s">
        <v>758</v>
      </c>
      <c r="Q476" s="133" t="s">
        <v>926</v>
      </c>
      <c r="R476" s="325" t="s">
        <v>4012</v>
      </c>
    </row>
    <row r="477" spans="2:18">
      <c r="B477" s="182" t="str">
        <f t="shared" si="23"/>
        <v>STRONG 60N šedý Polohovací</v>
      </c>
      <c r="M477" s="133" t="s">
        <v>614</v>
      </c>
      <c r="N477" s="133" t="s">
        <v>614</v>
      </c>
      <c r="O477" s="133" t="s">
        <v>759</v>
      </c>
      <c r="P477" s="133" t="s">
        <v>760</v>
      </c>
      <c r="Q477" s="133" t="s">
        <v>1549</v>
      </c>
      <c r="R477" s="325" t="s">
        <v>4013</v>
      </c>
    </row>
    <row r="478" spans="2:18">
      <c r="B478" s="182" t="str">
        <f t="shared" si="23"/>
        <v>STRONG 80N šedý Polohovací</v>
      </c>
      <c r="M478" s="133" t="s">
        <v>615</v>
      </c>
      <c r="N478" s="133" t="s">
        <v>615</v>
      </c>
      <c r="O478" s="133" t="s">
        <v>761</v>
      </c>
      <c r="P478" s="133" t="s">
        <v>762</v>
      </c>
      <c r="Q478" s="133" t="s">
        <v>1550</v>
      </c>
      <c r="R478" s="325" t="s">
        <v>4014</v>
      </c>
    </row>
    <row r="479" spans="2:18">
      <c r="B479" s="182" t="str">
        <f t="shared" si="23"/>
        <v>STRONG 100N šedý Polohovací</v>
      </c>
      <c r="M479" s="133" t="s">
        <v>616</v>
      </c>
      <c r="N479" s="133" t="s">
        <v>616</v>
      </c>
      <c r="O479" s="133" t="s">
        <v>763</v>
      </c>
      <c r="P479" s="133" t="s">
        <v>764</v>
      </c>
      <c r="Q479" s="133" t="s">
        <v>1551</v>
      </c>
      <c r="R479" s="325" t="s">
        <v>4015</v>
      </c>
    </row>
    <row r="480" spans="2:18">
      <c r="B480" s="182" t="str">
        <f t="shared" si="23"/>
        <v>STRONG 120N šedý Polohovací</v>
      </c>
      <c r="M480" s="133" t="s">
        <v>617</v>
      </c>
      <c r="N480" s="133" t="s">
        <v>617</v>
      </c>
      <c r="O480" s="133" t="s">
        <v>765</v>
      </c>
      <c r="P480" s="133" t="s">
        <v>766</v>
      </c>
      <c r="Q480" s="133" t="s">
        <v>1390</v>
      </c>
      <c r="R480" s="325" t="s">
        <v>4016</v>
      </c>
    </row>
    <row r="481" spans="2:18">
      <c r="B481" s="182" t="str">
        <f t="shared" si="23"/>
        <v>HUWIL DUO</v>
      </c>
      <c r="M481" s="133" t="s">
        <v>618</v>
      </c>
      <c r="N481" s="133" t="s">
        <v>618</v>
      </c>
      <c r="O481" s="133" t="s">
        <v>618</v>
      </c>
      <c r="P481" s="133" t="s">
        <v>618</v>
      </c>
      <c r="Q481" s="133" t="s">
        <v>618</v>
      </c>
      <c r="R481" s="325" t="s">
        <v>618</v>
      </c>
    </row>
    <row r="482" spans="2:18">
      <c r="B482" s="182" t="str">
        <f t="shared" si="23"/>
        <v>HUWILIFT MAXI</v>
      </c>
      <c r="M482" s="133" t="s">
        <v>620</v>
      </c>
      <c r="N482" s="133" t="s">
        <v>620</v>
      </c>
      <c r="O482" s="133" t="s">
        <v>620</v>
      </c>
      <c r="P482" s="133" t="s">
        <v>620</v>
      </c>
      <c r="Q482" s="133" t="s">
        <v>620</v>
      </c>
      <c r="R482" s="325" t="s">
        <v>620</v>
      </c>
    </row>
    <row r="483" spans="2:18">
      <c r="B483" s="182" t="str">
        <f t="shared" si="23"/>
        <v>KRABY 164 45N</v>
      </c>
      <c r="M483" s="133" t="s">
        <v>415</v>
      </c>
      <c r="N483" s="133" t="s">
        <v>415</v>
      </c>
      <c r="O483" s="133" t="s">
        <v>415</v>
      </c>
      <c r="P483" s="133" t="s">
        <v>415</v>
      </c>
      <c r="Q483" s="133" t="s">
        <v>415</v>
      </c>
      <c r="R483" s="325" t="s">
        <v>415</v>
      </c>
    </row>
    <row r="484" spans="2:18">
      <c r="B484" s="182" t="str">
        <f t="shared" si="23"/>
        <v>KRABY 164 60N</v>
      </c>
      <c r="M484" s="133" t="s">
        <v>416</v>
      </c>
      <c r="N484" s="133" t="s">
        <v>416</v>
      </c>
      <c r="O484" s="133" t="s">
        <v>416</v>
      </c>
      <c r="P484" s="133" t="s">
        <v>416</v>
      </c>
      <c r="Q484" s="133" t="s">
        <v>416</v>
      </c>
      <c r="R484" s="325" t="s">
        <v>416</v>
      </c>
    </row>
    <row r="485" spans="2:18">
      <c r="B485" s="182" t="str">
        <f t="shared" si="23"/>
        <v>KRABY 244 45N</v>
      </c>
      <c r="M485" s="133" t="s">
        <v>417</v>
      </c>
      <c r="N485" s="133" t="s">
        <v>417</v>
      </c>
      <c r="O485" s="133" t="s">
        <v>417</v>
      </c>
      <c r="P485" s="133" t="s">
        <v>417</v>
      </c>
      <c r="Q485" s="133" t="s">
        <v>417</v>
      </c>
      <c r="R485" s="325" t="s">
        <v>417</v>
      </c>
    </row>
    <row r="486" spans="2:18">
      <c r="B486" s="182" t="str">
        <f t="shared" si="23"/>
        <v>KRABY 244 60N</v>
      </c>
      <c r="M486" s="133" t="s">
        <v>418</v>
      </c>
      <c r="N486" s="133" t="s">
        <v>418</v>
      </c>
      <c r="O486" s="133" t="s">
        <v>418</v>
      </c>
      <c r="P486" s="133" t="s">
        <v>418</v>
      </c>
      <c r="Q486" s="133" t="s">
        <v>418</v>
      </c>
      <c r="R486" s="325" t="s">
        <v>418</v>
      </c>
    </row>
    <row r="487" spans="2:18">
      <c r="B487" s="182" t="str">
        <f t="shared" si="23"/>
        <v>KRABY 244 90N</v>
      </c>
      <c r="M487" s="133" t="s">
        <v>419</v>
      </c>
      <c r="N487" s="133" t="s">
        <v>419</v>
      </c>
      <c r="O487" s="133" t="s">
        <v>419</v>
      </c>
      <c r="P487" s="133" t="s">
        <v>419</v>
      </c>
      <c r="Q487" s="133" t="s">
        <v>419</v>
      </c>
      <c r="R487" s="325" t="s">
        <v>419</v>
      </c>
    </row>
    <row r="488" spans="2:18">
      <c r="B488" s="182" t="str">
        <f t="shared" si="23"/>
        <v>KRABY 244 120N</v>
      </c>
      <c r="M488" s="133" t="s">
        <v>420</v>
      </c>
      <c r="N488" s="133" t="s">
        <v>420</v>
      </c>
      <c r="O488" s="133" t="s">
        <v>420</v>
      </c>
      <c r="P488" s="133" t="s">
        <v>420</v>
      </c>
      <c r="Q488" s="133" t="s">
        <v>420</v>
      </c>
      <c r="R488" s="325" t="s">
        <v>420</v>
      </c>
    </row>
    <row r="489" spans="2:18">
      <c r="B489" s="182" t="str">
        <f t="shared" si="23"/>
        <v>KRABY 355 45N</v>
      </c>
      <c r="M489" s="133" t="s">
        <v>421</v>
      </c>
      <c r="N489" s="133" t="s">
        <v>421</v>
      </c>
      <c r="O489" s="133" t="s">
        <v>421</v>
      </c>
      <c r="P489" s="133" t="s">
        <v>421</v>
      </c>
      <c r="Q489" s="133" t="s">
        <v>421</v>
      </c>
      <c r="R489" s="325" t="s">
        <v>421</v>
      </c>
    </row>
    <row r="490" spans="2:18">
      <c r="B490" s="182" t="str">
        <f t="shared" ref="B490:B553" si="24">IF($D$1=1,M490,IF($D$1=2,N490,IF($D$1=3,O490,IF($D$1=4,P490,IF($D$1=5,Q490,IF($D$1=6,R490,0))))))</f>
        <v>KRABY 355 60N</v>
      </c>
      <c r="M490" s="133" t="s">
        <v>422</v>
      </c>
      <c r="N490" s="133" t="s">
        <v>422</v>
      </c>
      <c r="O490" s="133" t="s">
        <v>422</v>
      </c>
      <c r="P490" s="133" t="s">
        <v>422</v>
      </c>
      <c r="Q490" s="133" t="s">
        <v>422</v>
      </c>
      <c r="R490" s="325" t="s">
        <v>422</v>
      </c>
    </row>
    <row r="491" spans="2:18">
      <c r="B491" s="182" t="str">
        <f t="shared" si="24"/>
        <v>KRABY 355 90N</v>
      </c>
      <c r="M491" s="133" t="s">
        <v>423</v>
      </c>
      <c r="N491" s="133" t="s">
        <v>423</v>
      </c>
      <c r="O491" s="133" t="s">
        <v>423</v>
      </c>
      <c r="P491" s="133" t="s">
        <v>423</v>
      </c>
      <c r="Q491" s="133" t="s">
        <v>423</v>
      </c>
      <c r="R491" s="325" t="s">
        <v>423</v>
      </c>
    </row>
    <row r="492" spans="2:18">
      <c r="B492" s="182" t="str">
        <f t="shared" si="24"/>
        <v>KRABY 355 120N</v>
      </c>
      <c r="M492" s="133" t="s">
        <v>424</v>
      </c>
      <c r="N492" s="133" t="s">
        <v>424</v>
      </c>
      <c r="O492" s="133" t="s">
        <v>424</v>
      </c>
      <c r="P492" s="133" t="s">
        <v>424</v>
      </c>
      <c r="Q492" s="133" t="s">
        <v>424</v>
      </c>
      <c r="R492" s="325" t="s">
        <v>424</v>
      </c>
    </row>
    <row r="493" spans="2:18">
      <c r="B493" s="182" t="str">
        <f t="shared" si="24"/>
        <v>K12 244 50N</v>
      </c>
      <c r="M493" s="133" t="s">
        <v>621</v>
      </c>
      <c r="N493" s="133" t="s">
        <v>621</v>
      </c>
      <c r="O493" s="133" t="s">
        <v>621</v>
      </c>
      <c r="P493" s="133" t="s">
        <v>621</v>
      </c>
      <c r="Q493" s="133" t="s">
        <v>621</v>
      </c>
      <c r="R493" s="325" t="s">
        <v>621</v>
      </c>
    </row>
    <row r="494" spans="2:18">
      <c r="B494" s="182" t="str">
        <f t="shared" si="24"/>
        <v>K12 244 80N</v>
      </c>
      <c r="M494" s="133" t="s">
        <v>622</v>
      </c>
      <c r="N494" s="133" t="s">
        <v>622</v>
      </c>
      <c r="O494" s="133" t="s">
        <v>622</v>
      </c>
      <c r="P494" s="133" t="s">
        <v>622</v>
      </c>
      <c r="Q494" s="133" t="s">
        <v>622</v>
      </c>
      <c r="R494" s="325" t="s">
        <v>622</v>
      </c>
    </row>
    <row r="495" spans="2:18">
      <c r="B495" s="182" t="str">
        <f t="shared" si="24"/>
        <v>K12 244 100N</v>
      </c>
      <c r="M495" s="133" t="s">
        <v>623</v>
      </c>
      <c r="N495" s="133" t="s">
        <v>623</v>
      </c>
      <c r="O495" s="133" t="s">
        <v>623</v>
      </c>
      <c r="P495" s="133" t="s">
        <v>623</v>
      </c>
      <c r="Q495" s="133" t="s">
        <v>623</v>
      </c>
      <c r="R495" s="325" t="s">
        <v>623</v>
      </c>
    </row>
    <row r="496" spans="2:18">
      <c r="B496" s="182" t="str">
        <f t="shared" si="24"/>
        <v>K12 244 120N</v>
      </c>
      <c r="M496" s="133" t="s">
        <v>624</v>
      </c>
      <c r="N496" s="133" t="s">
        <v>624</v>
      </c>
      <c r="O496" s="133" t="s">
        <v>624</v>
      </c>
      <c r="P496" s="133" t="s">
        <v>624</v>
      </c>
      <c r="Q496" s="133" t="s">
        <v>624</v>
      </c>
      <c r="R496" s="325" t="s">
        <v>624</v>
      </c>
    </row>
    <row r="497" spans="2:18">
      <c r="B497" s="182" t="str">
        <f t="shared" si="24"/>
        <v>K12 355 60N</v>
      </c>
      <c r="M497" s="133" t="s">
        <v>625</v>
      </c>
      <c r="N497" s="133" t="s">
        <v>625</v>
      </c>
      <c r="O497" s="133" t="s">
        <v>625</v>
      </c>
      <c r="P497" s="133" t="s">
        <v>625</v>
      </c>
      <c r="Q497" s="133" t="s">
        <v>625</v>
      </c>
      <c r="R497" s="325" t="s">
        <v>625</v>
      </c>
    </row>
    <row r="498" spans="2:18">
      <c r="B498" s="182" t="str">
        <f t="shared" si="24"/>
        <v>K12 355 90N</v>
      </c>
      <c r="M498" s="133" t="s">
        <v>626</v>
      </c>
      <c r="N498" s="133" t="s">
        <v>626</v>
      </c>
      <c r="O498" s="133" t="s">
        <v>626</v>
      </c>
      <c r="P498" s="133" t="s">
        <v>626</v>
      </c>
      <c r="Q498" s="133" t="s">
        <v>626</v>
      </c>
      <c r="R498" s="325" t="s">
        <v>626</v>
      </c>
    </row>
    <row r="499" spans="2:18">
      <c r="B499" s="182" t="str">
        <f t="shared" si="24"/>
        <v>K12 355 110N</v>
      </c>
      <c r="M499" s="133" t="s">
        <v>627</v>
      </c>
      <c r="N499" s="133" t="s">
        <v>627</v>
      </c>
      <c r="O499" s="133" t="s">
        <v>627</v>
      </c>
      <c r="P499" s="133" t="s">
        <v>627</v>
      </c>
      <c r="Q499" s="133" t="s">
        <v>627</v>
      </c>
      <c r="R499" s="325" t="s">
        <v>627</v>
      </c>
    </row>
    <row r="500" spans="2:18">
      <c r="B500" s="182" t="str">
        <f t="shared" si="24"/>
        <v>K12 355 130N</v>
      </c>
      <c r="M500" s="133" t="s">
        <v>628</v>
      </c>
      <c r="N500" s="133" t="s">
        <v>628</v>
      </c>
      <c r="O500" s="133" t="s">
        <v>628</v>
      </c>
      <c r="P500" s="133" t="s">
        <v>628</v>
      </c>
      <c r="Q500" s="133" t="s">
        <v>628</v>
      </c>
      <c r="R500" s="325" t="s">
        <v>628</v>
      </c>
    </row>
    <row r="501" spans="2:18">
      <c r="B501" s="182" t="str">
        <f t="shared" si="24"/>
        <v>STRONG spodný biely</v>
      </c>
      <c r="M501" s="133" t="s">
        <v>629</v>
      </c>
      <c r="N501" s="133" t="s">
        <v>767</v>
      </c>
      <c r="O501" s="133" t="s">
        <v>768</v>
      </c>
      <c r="P501" s="133" t="s">
        <v>769</v>
      </c>
      <c r="Q501" s="133" t="s">
        <v>1552</v>
      </c>
      <c r="R501" s="325" t="s">
        <v>4217</v>
      </c>
    </row>
    <row r="502" spans="2:18">
      <c r="B502" s="182" t="str">
        <f t="shared" si="24"/>
        <v>STRONG spodný šedý</v>
      </c>
      <c r="M502" s="133" t="s">
        <v>630</v>
      </c>
      <c r="N502" s="133" t="s">
        <v>770</v>
      </c>
      <c r="O502" s="133" t="s">
        <v>771</v>
      </c>
      <c r="P502" s="133" t="s">
        <v>772</v>
      </c>
      <c r="Q502" s="133" t="s">
        <v>1553</v>
      </c>
      <c r="R502" s="325" t="s">
        <v>4222</v>
      </c>
    </row>
    <row r="503" spans="2:18">
      <c r="B503" s="182" t="str">
        <f t="shared" si="24"/>
        <v xml:space="preserve">HUWIL DUO (90°) </v>
      </c>
      <c r="M503" s="133" t="s">
        <v>631</v>
      </c>
      <c r="N503" s="133" t="s">
        <v>631</v>
      </c>
      <c r="O503" s="133" t="s">
        <v>631</v>
      </c>
      <c r="P503" s="133" t="s">
        <v>631</v>
      </c>
      <c r="Q503" s="133" t="s">
        <v>468</v>
      </c>
      <c r="R503" s="325" t="s">
        <v>468</v>
      </c>
    </row>
    <row r="504" spans="2:18">
      <c r="B504" s="182" t="str">
        <f t="shared" si="24"/>
        <v>HUWIL DUO FORTE</v>
      </c>
      <c r="M504" s="133" t="s">
        <v>619</v>
      </c>
      <c r="N504" s="133" t="s">
        <v>619</v>
      </c>
      <c r="O504" s="133" t="s">
        <v>619</v>
      </c>
      <c r="P504" s="133" t="s">
        <v>619</v>
      </c>
      <c r="Q504" s="133" t="s">
        <v>619</v>
      </c>
      <c r="R504" s="325" t="s">
        <v>619</v>
      </c>
    </row>
    <row r="505" spans="2:18">
      <c r="B505" s="182" t="str">
        <f t="shared" si="24"/>
        <v>KRABY 164 spodný</v>
      </c>
      <c r="M505" s="133" t="s">
        <v>632</v>
      </c>
      <c r="N505" s="133" t="s">
        <v>773</v>
      </c>
      <c r="O505" s="133" t="s">
        <v>774</v>
      </c>
      <c r="P505" s="133" t="s">
        <v>775</v>
      </c>
      <c r="Q505" s="133" t="s">
        <v>1391</v>
      </c>
      <c r="R505" s="325" t="s">
        <v>4219</v>
      </c>
    </row>
    <row r="506" spans="2:18">
      <c r="B506" s="182" t="str">
        <f t="shared" si="24"/>
        <v>KRABY 244 spodný</v>
      </c>
      <c r="M506" s="133" t="s">
        <v>633</v>
      </c>
      <c r="N506" s="133" t="s">
        <v>776</v>
      </c>
      <c r="O506" s="133" t="s">
        <v>777</v>
      </c>
      <c r="P506" s="133" t="s">
        <v>778</v>
      </c>
      <c r="Q506" s="133" t="s">
        <v>1392</v>
      </c>
      <c r="R506" s="325" t="s">
        <v>4220</v>
      </c>
    </row>
    <row r="507" spans="2:18">
      <c r="B507" s="182" t="str">
        <f t="shared" si="24"/>
        <v>KRABY 355 spodný</v>
      </c>
      <c r="M507" s="133" t="s">
        <v>634</v>
      </c>
      <c r="N507" s="133" t="s">
        <v>779</v>
      </c>
      <c r="O507" s="133" t="s">
        <v>780</v>
      </c>
      <c r="P507" s="133" t="s">
        <v>781</v>
      </c>
      <c r="Q507" s="133" t="s">
        <v>1393</v>
      </c>
      <c r="R507" s="325" t="s">
        <v>4221</v>
      </c>
    </row>
    <row r="508" spans="2:18">
      <c r="B508" s="182" t="str">
        <f t="shared" si="24"/>
        <v>k nasunutiu na vrut H0</v>
      </c>
      <c r="M508" s="133" t="s">
        <v>640</v>
      </c>
      <c r="N508" s="133" t="s">
        <v>782</v>
      </c>
      <c r="O508" s="133" t="s">
        <v>783</v>
      </c>
      <c r="P508" s="133" t="s">
        <v>1282</v>
      </c>
      <c r="Q508" s="133" t="s">
        <v>1554</v>
      </c>
      <c r="R508" s="325" t="s">
        <v>4223</v>
      </c>
    </row>
    <row r="509" spans="2:18">
      <c r="B509" s="182" t="str">
        <f t="shared" si="24"/>
        <v>k nasunutiu EURO skrutka H0</v>
      </c>
      <c r="M509" s="133" t="s">
        <v>641</v>
      </c>
      <c r="N509" s="133" t="s">
        <v>784</v>
      </c>
      <c r="O509" s="133" t="s">
        <v>785</v>
      </c>
      <c r="P509" s="133" t="s">
        <v>1283</v>
      </c>
      <c r="Q509" s="133" t="s">
        <v>1555</v>
      </c>
      <c r="R509" s="325" t="s">
        <v>4224</v>
      </c>
    </row>
    <row r="510" spans="2:18">
      <c r="B510" s="182" t="str">
        <f t="shared" si="24"/>
        <v>k nasunutiu na vrut H2</v>
      </c>
      <c r="M510" s="133" t="s">
        <v>642</v>
      </c>
      <c r="N510" s="133" t="s">
        <v>786</v>
      </c>
      <c r="O510" s="133" t="s">
        <v>787</v>
      </c>
      <c r="P510" s="133" t="s">
        <v>788</v>
      </c>
      <c r="Q510" s="133" t="s">
        <v>1556</v>
      </c>
      <c r="R510" s="325" t="s">
        <v>4225</v>
      </c>
    </row>
    <row r="511" spans="2:18">
      <c r="B511" s="182" t="str">
        <f t="shared" si="24"/>
        <v>k nasunutiu EURO skrutka H2</v>
      </c>
      <c r="M511" s="133" t="s">
        <v>643</v>
      </c>
      <c r="N511" s="133" t="s">
        <v>789</v>
      </c>
      <c r="O511" s="133" t="s">
        <v>790</v>
      </c>
      <c r="P511" s="133" t="s">
        <v>1284</v>
      </c>
      <c r="Q511" s="133" t="s">
        <v>1557</v>
      </c>
      <c r="R511" s="325" t="s">
        <v>4226</v>
      </c>
    </row>
    <row r="512" spans="2:18">
      <c r="B512" s="182" t="str">
        <f t="shared" si="24"/>
        <v>Clip na skrutku H2</v>
      </c>
      <c r="M512" s="133" t="s">
        <v>87</v>
      </c>
      <c r="N512" s="133" t="s">
        <v>164</v>
      </c>
      <c r="O512" s="133" t="s">
        <v>225</v>
      </c>
      <c r="P512" s="133" t="s">
        <v>288</v>
      </c>
      <c r="Q512" s="133" t="s">
        <v>1455</v>
      </c>
      <c r="R512" s="325" t="s">
        <v>4227</v>
      </c>
    </row>
    <row r="513" spans="2:18">
      <c r="B513" s="182" t="str">
        <f t="shared" si="24"/>
        <v>Clip vrut s excentrom H0</v>
      </c>
      <c r="M513" s="133" t="s">
        <v>644</v>
      </c>
      <c r="N513" s="133" t="s">
        <v>791</v>
      </c>
      <c r="O513" s="133" t="s">
        <v>792</v>
      </c>
      <c r="P513" s="133" t="s">
        <v>842</v>
      </c>
      <c r="Q513" s="133" t="s">
        <v>1558</v>
      </c>
      <c r="R513" s="325" t="s">
        <v>4228</v>
      </c>
    </row>
    <row r="514" spans="2:18">
      <c r="B514" s="182" t="str">
        <f t="shared" si="24"/>
        <v>Clip na skrutku H0</v>
      </c>
      <c r="M514" s="133" t="s">
        <v>85</v>
      </c>
      <c r="N514" s="133" t="s">
        <v>180</v>
      </c>
      <c r="O514" s="133" t="s">
        <v>241</v>
      </c>
      <c r="P514" s="133" t="s">
        <v>304</v>
      </c>
      <c r="Q514" s="133" t="s">
        <v>1474</v>
      </c>
      <c r="R514" s="325" t="s">
        <v>4229</v>
      </c>
    </row>
    <row r="515" spans="2:18">
      <c r="B515" s="182" t="str">
        <f t="shared" si="24"/>
        <v>Minimálny možný rozmer rámčeka je 140x140mm</v>
      </c>
      <c r="M515" s="133" t="s">
        <v>796</v>
      </c>
      <c r="N515" s="133" t="s">
        <v>797</v>
      </c>
      <c r="O515" s="133" t="s">
        <v>798</v>
      </c>
      <c r="P515" s="133" t="s">
        <v>799</v>
      </c>
      <c r="Q515" s="133" t="s">
        <v>927</v>
      </c>
      <c r="R515" s="325" t="s">
        <v>4017</v>
      </c>
    </row>
    <row r="516" spans="2:18">
      <c r="B516" s="182" t="str">
        <f t="shared" si="24"/>
        <v xml:space="preserve">Sensys SiSy naložený </v>
      </c>
      <c r="M516" s="156" t="s">
        <v>800</v>
      </c>
      <c r="N516" s="133" t="s">
        <v>800</v>
      </c>
      <c r="O516" s="133" t="s">
        <v>815</v>
      </c>
      <c r="P516" s="133" t="s">
        <v>816</v>
      </c>
      <c r="Q516" s="133" t="s">
        <v>1559</v>
      </c>
      <c r="R516" s="325" t="s">
        <v>4230</v>
      </c>
    </row>
    <row r="517" spans="2:18">
      <c r="B517" s="182" t="str">
        <f t="shared" si="24"/>
        <v xml:space="preserve">Sensys SiSy polonaložený </v>
      </c>
      <c r="M517" s="156" t="s">
        <v>801</v>
      </c>
      <c r="N517" s="133" t="s">
        <v>801</v>
      </c>
      <c r="O517" s="133" t="s">
        <v>823</v>
      </c>
      <c r="P517" s="133" t="s">
        <v>1285</v>
      </c>
      <c r="Q517" s="133" t="s">
        <v>1560</v>
      </c>
      <c r="R517" s="325" t="s">
        <v>4231</v>
      </c>
    </row>
    <row r="518" spans="2:18">
      <c r="B518" s="182" t="str">
        <f t="shared" si="24"/>
        <v xml:space="preserve">Sensys SiSy Vložený </v>
      </c>
      <c r="M518" s="156" t="s">
        <v>802</v>
      </c>
      <c r="N518" s="133" t="s">
        <v>835</v>
      </c>
      <c r="O518" s="133" t="s">
        <v>836</v>
      </c>
      <c r="P518" s="133" t="s">
        <v>1286</v>
      </c>
      <c r="Q518" s="133" t="s">
        <v>1561</v>
      </c>
      <c r="R518" s="325" t="s">
        <v>4232</v>
      </c>
    </row>
    <row r="519" spans="2:18">
      <c r="B519" s="182" t="str">
        <f t="shared" si="24"/>
        <v xml:space="preserve">Sensys P2o naložený </v>
      </c>
      <c r="M519" s="156" t="s">
        <v>803</v>
      </c>
      <c r="N519" s="133" t="s">
        <v>803</v>
      </c>
      <c r="O519" s="133" t="s">
        <v>817</v>
      </c>
      <c r="P519" s="133" t="s">
        <v>818</v>
      </c>
      <c r="Q519" s="133" t="s">
        <v>1562</v>
      </c>
      <c r="R519" s="325" t="s">
        <v>4233</v>
      </c>
    </row>
    <row r="520" spans="2:18">
      <c r="B520" s="182" t="str">
        <f t="shared" si="24"/>
        <v xml:space="preserve">Sensys P2o polonaložený </v>
      </c>
      <c r="M520" s="156" t="s">
        <v>804</v>
      </c>
      <c r="N520" s="133" t="s">
        <v>804</v>
      </c>
      <c r="O520" s="133" t="s">
        <v>824</v>
      </c>
      <c r="P520" s="133" t="s">
        <v>1287</v>
      </c>
      <c r="Q520" s="133" t="s">
        <v>1563</v>
      </c>
      <c r="R520" s="325" t="s">
        <v>4234</v>
      </c>
    </row>
    <row r="521" spans="2:18">
      <c r="B521" s="182" t="str">
        <f t="shared" si="24"/>
        <v xml:space="preserve">Sensys P2o Vložený </v>
      </c>
      <c r="M521" s="156" t="s">
        <v>805</v>
      </c>
      <c r="N521" s="133" t="s">
        <v>837</v>
      </c>
      <c r="O521" s="133" t="s">
        <v>838</v>
      </c>
      <c r="P521" s="133" t="s">
        <v>1288</v>
      </c>
      <c r="Q521" s="133" t="s">
        <v>1564</v>
      </c>
      <c r="R521" s="325" t="s">
        <v>4235</v>
      </c>
    </row>
    <row r="522" spans="2:18">
      <c r="B522" s="182" t="str">
        <f t="shared" si="24"/>
        <v xml:space="preserve">Sensys P2o naložený </v>
      </c>
      <c r="M522" s="156" t="s">
        <v>806</v>
      </c>
      <c r="N522" s="133" t="s">
        <v>803</v>
      </c>
      <c r="O522" s="133" t="s">
        <v>817</v>
      </c>
      <c r="P522" s="133" t="s">
        <v>818</v>
      </c>
      <c r="Q522" s="133" t="s">
        <v>1565</v>
      </c>
      <c r="R522" s="325" t="s">
        <v>4018</v>
      </c>
    </row>
    <row r="523" spans="2:18">
      <c r="B523" s="182" t="str">
        <f t="shared" si="24"/>
        <v>naložený s tlmením clip 110° ONYX</v>
      </c>
      <c r="M523" s="133" t="s">
        <v>807</v>
      </c>
      <c r="N523" s="133" t="s">
        <v>819</v>
      </c>
      <c r="O523" s="133" t="s">
        <v>820</v>
      </c>
      <c r="P523" s="133" t="s">
        <v>833</v>
      </c>
      <c r="Q523" s="133" t="s">
        <v>1566</v>
      </c>
      <c r="R523" s="325" t="s">
        <v>4019</v>
      </c>
    </row>
    <row r="524" spans="2:18">
      <c r="B524" s="182" t="str">
        <f t="shared" si="24"/>
        <v>polonaložený s tlmením clip 110° ONYX</v>
      </c>
      <c r="M524" s="133" t="s">
        <v>808</v>
      </c>
      <c r="N524" s="133" t="s">
        <v>821</v>
      </c>
      <c r="O524" s="133" t="s">
        <v>822</v>
      </c>
      <c r="P524" s="133" t="s">
        <v>1289</v>
      </c>
      <c r="Q524" s="133" t="s">
        <v>1567</v>
      </c>
      <c r="R524" s="325" t="s">
        <v>4020</v>
      </c>
    </row>
    <row r="525" spans="2:18">
      <c r="B525" s="182" t="str">
        <f t="shared" si="24"/>
        <v>vložený s tlmením clip 110° Onyx</v>
      </c>
      <c r="M525" s="133" t="s">
        <v>809</v>
      </c>
      <c r="N525" s="133" t="s">
        <v>839</v>
      </c>
      <c r="O525" s="133" t="s">
        <v>840</v>
      </c>
      <c r="P525" s="133" t="s">
        <v>1290</v>
      </c>
      <c r="Q525" s="133" t="s">
        <v>1568</v>
      </c>
      <c r="R525" s="325" t="s">
        <v>4021</v>
      </c>
    </row>
    <row r="526" spans="2:18">
      <c r="B526" s="182" t="str">
        <f t="shared" si="24"/>
        <v>naložený clip 95° Onyx</v>
      </c>
      <c r="M526" s="133" t="s">
        <v>810</v>
      </c>
      <c r="N526" s="133" t="s">
        <v>825</v>
      </c>
      <c r="O526" s="133" t="s">
        <v>826</v>
      </c>
      <c r="P526" s="133" t="s">
        <v>834</v>
      </c>
      <c r="Q526" s="133" t="s">
        <v>1569</v>
      </c>
      <c r="R526" s="325" t="s">
        <v>4022</v>
      </c>
    </row>
    <row r="527" spans="2:18">
      <c r="B527" s="182" t="str">
        <f t="shared" si="24"/>
        <v>StrongHinges S3</v>
      </c>
      <c r="M527" s="133" t="s">
        <v>2401</v>
      </c>
      <c r="N527" s="133" t="s">
        <v>2401</v>
      </c>
      <c r="O527" s="133" t="s">
        <v>2401</v>
      </c>
      <c r="P527" s="133" t="s">
        <v>2401</v>
      </c>
      <c r="Q527" s="133" t="s">
        <v>2401</v>
      </c>
      <c r="R527" s="325" t="s">
        <v>2401</v>
      </c>
    </row>
    <row r="528" spans="2:18">
      <c r="B528" s="182" t="str">
        <f t="shared" si="24"/>
        <v xml:space="preserve">StrongHinges S3 Naložený clip bez pružiny </v>
      </c>
      <c r="M528" s="133" t="s">
        <v>2402</v>
      </c>
      <c r="N528" s="133" t="s">
        <v>2403</v>
      </c>
      <c r="O528" s="133" t="s">
        <v>2404</v>
      </c>
      <c r="P528" s="133" t="s">
        <v>2405</v>
      </c>
      <c r="Q528" s="133" t="s">
        <v>2406</v>
      </c>
      <c r="R528" s="325" t="s">
        <v>4236</v>
      </c>
    </row>
    <row r="529" spans="2:18">
      <c r="B529" s="182" t="str">
        <f t="shared" si="24"/>
        <v>StrongHinges S3 polonaložený clip bez pružiny</v>
      </c>
      <c r="M529" s="133" t="s">
        <v>2402</v>
      </c>
      <c r="N529" s="133" t="s">
        <v>2407</v>
      </c>
      <c r="O529" s="133" t="s">
        <v>2404</v>
      </c>
      <c r="P529" s="133" t="s">
        <v>2405</v>
      </c>
      <c r="Q529" s="133" t="s">
        <v>2406</v>
      </c>
      <c r="R529" s="325" t="s">
        <v>4236</v>
      </c>
    </row>
    <row r="530" spans="2:18">
      <c r="B530" s="182" t="str">
        <f t="shared" si="24"/>
        <v>StrongHinges S3 vložený bez pružiny</v>
      </c>
      <c r="M530" s="133" t="s">
        <v>2368</v>
      </c>
      <c r="N530" s="133" t="s">
        <v>2408</v>
      </c>
      <c r="O530" s="133" t="s">
        <v>2409</v>
      </c>
      <c r="P530" s="133" t="s">
        <v>2410</v>
      </c>
      <c r="Q530" s="133" t="s">
        <v>2369</v>
      </c>
      <c r="R530" s="325" t="s">
        <v>4237</v>
      </c>
    </row>
    <row r="531" spans="2:18">
      <c r="B531" s="182" t="str">
        <f t="shared" si="24"/>
        <v>StrongHinges S3 30° clip  bez pružiny</v>
      </c>
      <c r="M531" s="133" t="s">
        <v>2411</v>
      </c>
      <c r="N531" s="133" t="s">
        <v>2412</v>
      </c>
      <c r="O531" s="133" t="s">
        <v>2413</v>
      </c>
      <c r="P531" s="133" t="s">
        <v>2414</v>
      </c>
      <c r="Q531" s="133" t="s">
        <v>2415</v>
      </c>
      <c r="R531" s="325" t="s">
        <v>4238</v>
      </c>
    </row>
    <row r="532" spans="2:18">
      <c r="B532" s="182" t="str">
        <f t="shared" si="24"/>
        <v>StrongHinges S3 naložený clip</v>
      </c>
      <c r="M532" s="133" t="s">
        <v>2416</v>
      </c>
      <c r="N532" s="133" t="s">
        <v>2416</v>
      </c>
      <c r="O532" s="133" t="s">
        <v>2417</v>
      </c>
      <c r="P532" s="133" t="s">
        <v>2418</v>
      </c>
      <c r="Q532" s="133" t="s">
        <v>2419</v>
      </c>
      <c r="R532" s="325" t="s">
        <v>4239</v>
      </c>
    </row>
    <row r="533" spans="2:18">
      <c r="B533" s="182" t="str">
        <f t="shared" si="24"/>
        <v>StrongHinges S3 polonaložený clip</v>
      </c>
      <c r="M533" s="133" t="s">
        <v>2420</v>
      </c>
      <c r="N533" s="133" t="s">
        <v>2420</v>
      </c>
      <c r="O533" s="133" t="s">
        <v>2421</v>
      </c>
      <c r="P533" s="133" t="s">
        <v>2422</v>
      </c>
      <c r="Q533" s="133" t="s">
        <v>2423</v>
      </c>
      <c r="R533" s="325" t="s">
        <v>4240</v>
      </c>
    </row>
    <row r="534" spans="2:18">
      <c r="B534" s="182" t="str">
        <f t="shared" si="24"/>
        <v>StrongHinges S3 vložený clip</v>
      </c>
      <c r="M534" s="133" t="s">
        <v>2424</v>
      </c>
      <c r="N534" s="133" t="s">
        <v>2424</v>
      </c>
      <c r="O534" s="133" t="s">
        <v>2425</v>
      </c>
      <c r="P534" s="133" t="s">
        <v>2426</v>
      </c>
      <c r="Q534" s="133" t="s">
        <v>2427</v>
      </c>
      <c r="R534" s="325" t="s">
        <v>4241</v>
      </c>
    </row>
    <row r="535" spans="2:18">
      <c r="B535" s="182" t="str">
        <f t="shared" si="24"/>
        <v>StrongHinges S3 30°clip</v>
      </c>
      <c r="M535" s="133" t="s">
        <v>2428</v>
      </c>
      <c r="N535" s="133" t="s">
        <v>2428</v>
      </c>
      <c r="O535" s="133" t="s">
        <v>2428</v>
      </c>
      <c r="P535" s="133" t="s">
        <v>2428</v>
      </c>
      <c r="Q535" s="133" t="s">
        <v>2429</v>
      </c>
      <c r="R535" s="325" t="s">
        <v>4242</v>
      </c>
    </row>
    <row r="536" spans="2:18">
      <c r="B536" s="182" t="str">
        <f t="shared" si="24"/>
        <v>StrongHinges S3 naložený clip</v>
      </c>
      <c r="M536" s="133" t="s">
        <v>2416</v>
      </c>
      <c r="N536" s="133" t="s">
        <v>2416</v>
      </c>
      <c r="O536" s="133" t="s">
        <v>2417</v>
      </c>
      <c r="P536" s="133" t="s">
        <v>2418</v>
      </c>
      <c r="Q536" s="133" t="s">
        <v>2419</v>
      </c>
      <c r="R536" s="325" t="s">
        <v>4239</v>
      </c>
    </row>
    <row r="537" spans="2:18">
      <c r="B537" s="182" t="str">
        <f t="shared" si="24"/>
        <v xml:space="preserve">StrongHinges S3 Naložený clip bez pružiny </v>
      </c>
      <c r="M537" s="133" t="s">
        <v>2402</v>
      </c>
      <c r="N537" s="133" t="s">
        <v>2403</v>
      </c>
      <c r="O537" s="133" t="s">
        <v>2404</v>
      </c>
      <c r="P537" s="133" t="s">
        <v>2405</v>
      </c>
      <c r="Q537" s="133" t="s">
        <v>2406</v>
      </c>
      <c r="R537" s="325" t="s">
        <v>4236</v>
      </c>
    </row>
    <row r="538" spans="2:18">
      <c r="B538" s="182" t="str">
        <f t="shared" si="24"/>
        <v>StrongHinges S3 Clip vrut s excentrom H0</v>
      </c>
      <c r="M538" s="133" t="s">
        <v>2430</v>
      </c>
      <c r="N538" s="133" t="s">
        <v>2431</v>
      </c>
      <c r="O538" s="133" t="s">
        <v>2432</v>
      </c>
      <c r="P538" s="133" t="s">
        <v>2433</v>
      </c>
      <c r="Q538" s="133" t="s">
        <v>2434</v>
      </c>
      <c r="R538" s="325" t="s">
        <v>4243</v>
      </c>
    </row>
    <row r="539" spans="2:18">
      <c r="B539" s="182" t="str">
        <f t="shared" si="24"/>
        <v>StrongHinges S3 Clip vrut s excentrom H2</v>
      </c>
      <c r="M539" s="133" t="s">
        <v>2435</v>
      </c>
      <c r="N539" s="133" t="s">
        <v>2436</v>
      </c>
      <c r="O539" s="133" t="s">
        <v>2437</v>
      </c>
      <c r="P539" s="133" t="s">
        <v>2438</v>
      </c>
      <c r="Q539" s="133" t="s">
        <v>2439</v>
      </c>
      <c r="R539" s="325" t="s">
        <v>4023</v>
      </c>
    </row>
    <row r="540" spans="2:18">
      <c r="B540" s="182" t="str">
        <f t="shared" si="24"/>
        <v>Úvod</v>
      </c>
      <c r="M540" s="133" t="s">
        <v>843</v>
      </c>
      <c r="N540" s="133" t="s">
        <v>843</v>
      </c>
      <c r="O540" s="133" t="s">
        <v>844</v>
      </c>
      <c r="P540" s="133" t="s">
        <v>1291</v>
      </c>
      <c r="Q540" s="133" t="s">
        <v>928</v>
      </c>
      <c r="R540" s="325" t="s">
        <v>4024</v>
      </c>
    </row>
    <row r="541" spans="2:18">
      <c r="B541" s="182" t="str">
        <f t="shared" si="24"/>
        <v>Maximálny možný rozmer rámčeku Corleone je 1500x600mm</v>
      </c>
      <c r="M541" s="175" t="s">
        <v>851</v>
      </c>
      <c r="N541" s="133" t="s">
        <v>852</v>
      </c>
      <c r="O541" s="133" t="s">
        <v>853</v>
      </c>
      <c r="P541" s="133" t="s">
        <v>854</v>
      </c>
      <c r="Q541" s="133" t="s">
        <v>1570</v>
      </c>
      <c r="R541" s="325" t="s">
        <v>4025</v>
      </c>
    </row>
    <row r="542" spans="2:18">
      <c r="B542" s="182" t="str">
        <f t="shared" si="24"/>
        <v>Kombinácia 2 profilov</v>
      </c>
      <c r="M542" s="133" t="s">
        <v>1005</v>
      </c>
      <c r="N542" s="133" t="s">
        <v>1114</v>
      </c>
      <c r="O542" s="133" t="s">
        <v>1115</v>
      </c>
      <c r="P542" s="133" t="s">
        <v>1116</v>
      </c>
      <c r="Q542" s="133" t="s">
        <v>1571</v>
      </c>
      <c r="R542" s="325" t="s">
        <v>4026</v>
      </c>
    </row>
    <row r="543" spans="2:18">
      <c r="B543" s="182" t="str">
        <f t="shared" si="24"/>
        <v>Deliace lišty</v>
      </c>
      <c r="M543" s="133" t="s">
        <v>1117</v>
      </c>
      <c r="N543" s="133" t="s">
        <v>1119</v>
      </c>
      <c r="O543" s="133" t="s">
        <v>932</v>
      </c>
      <c r="P543" s="133" t="s">
        <v>1118</v>
      </c>
      <c r="Q543" s="133" t="s">
        <v>1394</v>
      </c>
      <c r="R543" s="325" t="s">
        <v>4027</v>
      </c>
    </row>
    <row r="544" spans="2:18">
      <c r="B544" s="182" t="str">
        <f t="shared" si="24"/>
        <v>Značka kovania</v>
      </c>
      <c r="M544" s="133" t="s">
        <v>1007</v>
      </c>
      <c r="N544" s="133" t="s">
        <v>1120</v>
      </c>
      <c r="O544" s="133" t="s">
        <v>1121</v>
      </c>
      <c r="P544" s="133" t="s">
        <v>1292</v>
      </c>
      <c r="Q544" s="133" t="s">
        <v>1409</v>
      </c>
      <c r="R544" s="325" t="s">
        <v>4028</v>
      </c>
    </row>
    <row r="545" spans="2:18">
      <c r="B545" s="182" t="str">
        <f t="shared" si="24"/>
        <v>Variant kovania</v>
      </c>
      <c r="M545" s="133" t="s">
        <v>1008</v>
      </c>
      <c r="N545" s="133" t="s">
        <v>1123</v>
      </c>
      <c r="O545" s="133" t="s">
        <v>1122</v>
      </c>
      <c r="P545" s="133" t="s">
        <v>1293</v>
      </c>
      <c r="Q545" s="133" t="s">
        <v>1408</v>
      </c>
      <c r="R545" s="325" t="s">
        <v>4029</v>
      </c>
    </row>
    <row r="546" spans="2:18">
      <c r="B546" s="182" t="str">
        <f t="shared" si="24"/>
        <v>Naloženie</v>
      </c>
      <c r="M546" s="133" t="s">
        <v>1107</v>
      </c>
      <c r="N546" s="133" t="s">
        <v>1124</v>
      </c>
      <c r="O546" s="133" t="s">
        <v>1316</v>
      </c>
      <c r="P546" s="133" t="s">
        <v>1125</v>
      </c>
      <c r="Q546" s="133" t="s">
        <v>1395</v>
      </c>
      <c r="R546" s="325" t="s">
        <v>4030</v>
      </c>
    </row>
    <row r="547" spans="2:18">
      <c r="B547" s="182" t="str">
        <f t="shared" si="24"/>
        <v>Závesy pre výklopy</v>
      </c>
      <c r="M547" s="133" t="s">
        <v>2330</v>
      </c>
      <c r="N547" s="133" t="s">
        <v>1126</v>
      </c>
      <c r="O547" s="133" t="s">
        <v>1317</v>
      </c>
      <c r="P547" s="133" t="s">
        <v>1294</v>
      </c>
      <c r="Q547" s="133" t="s">
        <v>1572</v>
      </c>
      <c r="R547" s="325" t="s">
        <v>4031</v>
      </c>
    </row>
    <row r="548" spans="2:18">
      <c r="B548" s="182" t="str">
        <f t="shared" si="24"/>
        <v>Rozteč</v>
      </c>
      <c r="M548" s="133" t="s">
        <v>1129</v>
      </c>
      <c r="N548" s="133" t="s">
        <v>1129</v>
      </c>
      <c r="O548" s="133" t="s">
        <v>1130</v>
      </c>
      <c r="P548" s="133" t="s">
        <v>1131</v>
      </c>
      <c r="Q548" s="133" t="s">
        <v>1396</v>
      </c>
      <c r="R548" s="325" t="s">
        <v>4032</v>
      </c>
    </row>
    <row r="549" spans="2:18">
      <c r="B549" s="182" t="str">
        <f t="shared" si="24"/>
        <v>Rozteč úchytiek (mm)</v>
      </c>
      <c r="M549" s="133" t="s">
        <v>1341</v>
      </c>
      <c r="N549" s="133" t="s">
        <v>1342</v>
      </c>
      <c r="O549" s="133" t="s">
        <v>1343</v>
      </c>
      <c r="P549" s="133" t="s">
        <v>1344</v>
      </c>
      <c r="Q549" s="133" t="s">
        <v>1411</v>
      </c>
      <c r="R549" s="325" t="s">
        <v>4033</v>
      </c>
    </row>
    <row r="550" spans="2:18">
      <c r="B550" s="182" t="str">
        <f t="shared" si="24"/>
        <v>Umiestnenie úchytky</v>
      </c>
      <c r="M550" s="133" t="s">
        <v>1031</v>
      </c>
      <c r="N550" s="133" t="s">
        <v>1127</v>
      </c>
      <c r="O550" s="133" t="s">
        <v>1318</v>
      </c>
      <c r="P550" s="133" t="s">
        <v>1128</v>
      </c>
      <c r="Q550" s="133" t="s">
        <v>1412</v>
      </c>
      <c r="R550" s="325" t="s">
        <v>4034</v>
      </c>
    </row>
    <row r="551" spans="2:18">
      <c r="B551" s="182" t="str">
        <f t="shared" si="24"/>
        <v>Závesy</v>
      </c>
      <c r="M551" s="133" t="s">
        <v>399</v>
      </c>
      <c r="N551" s="133" t="s">
        <v>400</v>
      </c>
      <c r="O551" s="133" t="s">
        <v>401</v>
      </c>
      <c r="P551" s="133" t="s">
        <v>402</v>
      </c>
      <c r="Q551" s="133" t="s">
        <v>1444</v>
      </c>
      <c r="R551" s="325" t="s">
        <v>3833</v>
      </c>
    </row>
    <row r="552" spans="2:18">
      <c r="B552" s="182" t="str">
        <f t="shared" si="24"/>
        <v>Výklopy</v>
      </c>
      <c r="M552" s="133" t="s">
        <v>599</v>
      </c>
      <c r="N552" s="133" t="s">
        <v>599</v>
      </c>
      <c r="O552" s="133" t="s">
        <v>1143</v>
      </c>
      <c r="P552" s="133" t="s">
        <v>1144</v>
      </c>
      <c r="Q552" s="133" t="s">
        <v>1573</v>
      </c>
      <c r="R552" s="325" t="s">
        <v>4035</v>
      </c>
    </row>
    <row r="553" spans="2:18">
      <c r="B553" s="182" t="str">
        <f t="shared" si="24"/>
        <v>Naložený</v>
      </c>
      <c r="M553" s="175" t="s">
        <v>68</v>
      </c>
      <c r="N553" s="133" t="s">
        <v>68</v>
      </c>
      <c r="O553" s="133" t="s">
        <v>220</v>
      </c>
      <c r="P553" s="133" t="s">
        <v>284</v>
      </c>
      <c r="Q553" s="133" t="s">
        <v>1595</v>
      </c>
      <c r="R553" s="325" t="s">
        <v>3843</v>
      </c>
    </row>
    <row r="554" spans="2:18">
      <c r="B554" s="182" t="str">
        <f t="shared" ref="B554:B567" si="25">IF($D$1=1,M554,IF($D$1=2,N554,IF($D$1=3,O554,IF($D$1=4,P554,IF($D$1=5,Q554,IF($D$1=6,R554,0))))))</f>
        <v>Polonaložený</v>
      </c>
      <c r="M554" s="175" t="s">
        <v>69</v>
      </c>
      <c r="N554" s="133" t="s">
        <v>69</v>
      </c>
      <c r="O554" s="133" t="s">
        <v>221</v>
      </c>
      <c r="P554" s="133" t="s">
        <v>1244</v>
      </c>
      <c r="Q554" s="133" t="s">
        <v>1452</v>
      </c>
      <c r="R554" s="325" t="s">
        <v>4036</v>
      </c>
    </row>
    <row r="555" spans="2:18">
      <c r="B555" s="182" t="str">
        <f t="shared" si="25"/>
        <v>Vložený</v>
      </c>
      <c r="M555" s="175" t="s">
        <v>70</v>
      </c>
      <c r="N555" s="133" t="s">
        <v>70</v>
      </c>
      <c r="O555" s="133" t="s">
        <v>1145</v>
      </c>
      <c r="P555" s="133" t="s">
        <v>1245</v>
      </c>
      <c r="Q555" s="133" t="s">
        <v>905</v>
      </c>
      <c r="R555" s="325" t="s">
        <v>4037</v>
      </c>
    </row>
    <row r="556" spans="2:18">
      <c r="B556" s="182" t="str">
        <f t="shared" si="25"/>
        <v>Áno</v>
      </c>
      <c r="M556" s="175" t="s">
        <v>1180</v>
      </c>
      <c r="N556" s="133" t="s">
        <v>1186</v>
      </c>
      <c r="O556" s="133" t="s">
        <v>1185</v>
      </c>
      <c r="P556" s="133" t="s">
        <v>1182</v>
      </c>
      <c r="Q556" s="133" t="s">
        <v>1397</v>
      </c>
      <c r="R556" s="325" t="s">
        <v>4038</v>
      </c>
    </row>
    <row r="557" spans="2:18">
      <c r="B557" s="182" t="str">
        <f t="shared" si="25"/>
        <v>Nie</v>
      </c>
      <c r="M557" s="175" t="s">
        <v>1181</v>
      </c>
      <c r="N557" s="133" t="s">
        <v>1184</v>
      </c>
      <c r="O557" s="133" t="s">
        <v>1184</v>
      </c>
      <c r="P557" s="133" t="s">
        <v>1183</v>
      </c>
      <c r="Q557" s="133" t="s">
        <v>1398</v>
      </c>
      <c r="R557" s="325" t="s">
        <v>4039</v>
      </c>
    </row>
    <row r="558" spans="2:18">
      <c r="B558" s="182" t="str">
        <f t="shared" si="25"/>
        <v>horizontálne (termín dodania 4 týždne)</v>
      </c>
      <c r="M558" s="175" t="s">
        <v>3179</v>
      </c>
      <c r="N558" s="133" t="s">
        <v>3180</v>
      </c>
      <c r="O558" s="133" t="s">
        <v>3181</v>
      </c>
      <c r="P558" s="133" t="s">
        <v>3182</v>
      </c>
      <c r="Q558" s="133" t="s">
        <v>3183</v>
      </c>
      <c r="R558" s="325" t="s">
        <v>4040</v>
      </c>
    </row>
    <row r="559" spans="2:18">
      <c r="B559" s="182" t="str">
        <f t="shared" si="25"/>
        <v>Vertikálne (termín dodania 4 týždne)</v>
      </c>
      <c r="M559" s="175" t="s">
        <v>3184</v>
      </c>
      <c r="N559" s="133" t="s">
        <v>3185</v>
      </c>
      <c r="O559" s="133" t="s">
        <v>3186</v>
      </c>
      <c r="P559" s="133" t="s">
        <v>3187</v>
      </c>
      <c r="Q559" s="133" t="s">
        <v>3188</v>
      </c>
      <c r="R559" s="325" t="s">
        <v>4041</v>
      </c>
    </row>
    <row r="560" spans="2:18">
      <c r="B560" s="182" t="str">
        <f t="shared" si="25"/>
        <v>Horizontálne aj vertikálne (termín dodania 4 týždne)</v>
      </c>
      <c r="M560" s="175" t="s">
        <v>3189</v>
      </c>
      <c r="N560" s="133" t="s">
        <v>3190</v>
      </c>
      <c r="O560" s="133" t="s">
        <v>3191</v>
      </c>
      <c r="P560" s="133" t="s">
        <v>3192</v>
      </c>
      <c r="Q560" s="133" t="s">
        <v>3193</v>
      </c>
      <c r="R560" s="325" t="s">
        <v>4042</v>
      </c>
    </row>
    <row r="561" spans="2:18">
      <c r="B561" s="182" t="str">
        <f t="shared" si="25"/>
        <v>Rámček zložený z dvoch rôznych profilov</v>
      </c>
      <c r="M561" s="133" t="s">
        <v>1006</v>
      </c>
      <c r="N561" s="133" t="s">
        <v>1187</v>
      </c>
      <c r="O561" s="133" t="s">
        <v>1319</v>
      </c>
      <c r="P561" s="133" t="s">
        <v>1188</v>
      </c>
      <c r="Q561" s="133" t="s">
        <v>1574</v>
      </c>
      <c r="R561" s="325" t="s">
        <v>4043</v>
      </c>
    </row>
    <row r="562" spans="2:18">
      <c r="B562" s="182" t="str">
        <f t="shared" si="25"/>
        <v>Typ fólie</v>
      </c>
      <c r="M562" s="175" t="s">
        <v>942</v>
      </c>
      <c r="N562" s="133" t="s">
        <v>1207</v>
      </c>
      <c r="O562" s="133" t="s">
        <v>1208</v>
      </c>
      <c r="P562" s="133" t="s">
        <v>1209</v>
      </c>
      <c r="Q562" s="133" t="s">
        <v>1575</v>
      </c>
      <c r="R562" s="325" t="s">
        <v>4044</v>
      </c>
    </row>
    <row r="563" spans="2:18">
      <c r="B563" s="182" t="str">
        <f t="shared" si="25"/>
        <v>transparentné</v>
      </c>
      <c r="M563" s="133" t="s">
        <v>953</v>
      </c>
      <c r="N563" s="133" t="s">
        <v>1210</v>
      </c>
      <c r="O563" s="133" t="s">
        <v>1320</v>
      </c>
      <c r="P563" s="133" t="s">
        <v>1213</v>
      </c>
      <c r="Q563" s="133" t="s">
        <v>1399</v>
      </c>
      <c r="R563" s="325" t="s">
        <v>1399</v>
      </c>
    </row>
    <row r="564" spans="2:18">
      <c r="B564" s="182" t="str">
        <f t="shared" si="25"/>
        <v>biela</v>
      </c>
      <c r="M564" s="133" t="s">
        <v>956</v>
      </c>
      <c r="N564" s="133" t="s">
        <v>1211</v>
      </c>
      <c r="O564" s="133" t="s">
        <v>1321</v>
      </c>
      <c r="P564" s="133" t="s">
        <v>1295</v>
      </c>
      <c r="Q564" s="133" t="s">
        <v>1400</v>
      </c>
      <c r="R564" s="325" t="s">
        <v>4045</v>
      </c>
    </row>
    <row r="565" spans="2:18">
      <c r="B565" s="182" t="str">
        <f t="shared" si="25"/>
        <v>čierna</v>
      </c>
      <c r="M565" s="133" t="s">
        <v>959</v>
      </c>
      <c r="N565" s="133" t="s">
        <v>1212</v>
      </c>
      <c r="O565" s="133" t="s">
        <v>1322</v>
      </c>
      <c r="P565" s="133" t="s">
        <v>1214</v>
      </c>
      <c r="Q565" s="133" t="s">
        <v>1401</v>
      </c>
      <c r="R565" s="325" t="s">
        <v>4046</v>
      </c>
    </row>
    <row r="566" spans="2:18">
      <c r="B566" s="182" t="str">
        <f t="shared" si="25"/>
        <v>Ďalšie</v>
      </c>
      <c r="M566" s="133" t="s">
        <v>1221</v>
      </c>
      <c r="N566" s="133" t="s">
        <v>1222</v>
      </c>
      <c r="O566" s="133" t="s">
        <v>1323</v>
      </c>
      <c r="P566" s="133" t="s">
        <v>1223</v>
      </c>
      <c r="Q566" s="133" t="s">
        <v>1402</v>
      </c>
      <c r="R566" s="325" t="s">
        <v>4047</v>
      </c>
    </row>
    <row r="567" spans="2:18">
      <c r="B567" s="182" t="str">
        <f t="shared" si="25"/>
        <v>Súhrn</v>
      </c>
      <c r="M567" s="133" t="s">
        <v>1112</v>
      </c>
      <c r="N567" s="133" t="s">
        <v>1226</v>
      </c>
      <c r="O567" s="133" t="s">
        <v>1224</v>
      </c>
      <c r="P567" s="133" t="s">
        <v>1225</v>
      </c>
      <c r="Q567" s="133" t="s">
        <v>1403</v>
      </c>
      <c r="R567" s="325" t="s">
        <v>4048</v>
      </c>
    </row>
    <row r="568" spans="2:18">
      <c r="B568" s="182">
        <f t="shared" ref="B568:B570" si="26">IF($D$1=1,M568,IF($D$1=2,N568,IF($D$1=3,O568,IF($D$1=4,P568,IF($D$1=5,Q568,0)))))</f>
        <v>0</v>
      </c>
    </row>
    <row r="569" spans="2:18">
      <c r="B569" s="182">
        <f t="shared" si="26"/>
        <v>0</v>
      </c>
    </row>
    <row r="570" spans="2:18">
      <c r="B570" s="182">
        <f t="shared" si="26"/>
        <v>0</v>
      </c>
    </row>
    <row r="571" spans="2:18">
      <c r="B571" s="182" t="str">
        <f t="shared" ref="B571:B634" si="27">IF($D$1=1,M571,IF($D$1=2,N571,IF($D$1=3,O571,IF($D$1=4,P571,IF($D$1=5,Q571,IF($D$1=6,R571,0))))))</f>
        <v>Pohľad na predely je len ilustratívny a nezobrazuje zvolený počet ks predelov horizontálne / vertikálne.</v>
      </c>
      <c r="M571" s="133" t="s">
        <v>3068</v>
      </c>
      <c r="N571" s="133" t="s">
        <v>3070</v>
      </c>
      <c r="O571" s="133" t="s">
        <v>3069</v>
      </c>
      <c r="P571" s="133" t="s">
        <v>3071</v>
      </c>
      <c r="Q571" s="133" t="s">
        <v>1576</v>
      </c>
      <c r="R571" s="325" t="s">
        <v>4244</v>
      </c>
    </row>
    <row r="572" spans="2:18">
      <c r="B572" s="182" t="str">
        <f t="shared" si="27"/>
        <v>Upozornenie:</v>
      </c>
      <c r="M572" s="133" t="s">
        <v>3570</v>
      </c>
      <c r="N572" s="133" t="s">
        <v>3569</v>
      </c>
      <c r="O572" s="133" t="s">
        <v>3568</v>
      </c>
      <c r="P572" s="133" t="s">
        <v>3571</v>
      </c>
      <c r="Q572" s="133" t="s">
        <v>3572</v>
      </c>
      <c r="R572" s="325" t="s">
        <v>4245</v>
      </c>
    </row>
    <row r="573" spans="2:18">
      <c r="B573" s="182" t="str">
        <f t="shared" si="27"/>
        <v>Už nemeniť po tom čo vyberiete typ skla/sieťky</v>
      </c>
      <c r="M573" s="133" t="s">
        <v>4313</v>
      </c>
      <c r="N573" s="133" t="s">
        <v>4314</v>
      </c>
      <c r="O573" s="133" t="s">
        <v>4315</v>
      </c>
      <c r="P573" s="133" t="s">
        <v>4316</v>
      </c>
      <c r="Q573" s="133" t="s">
        <v>4317</v>
      </c>
      <c r="R573" s="325" t="s">
        <v>4318</v>
      </c>
    </row>
    <row r="574" spans="2:18">
      <c r="B574" s="182" t="str">
        <f t="shared" si="27"/>
        <v>Späť</v>
      </c>
      <c r="M574" s="133" t="s">
        <v>1324</v>
      </c>
      <c r="N574" s="133" t="s">
        <v>1327</v>
      </c>
      <c r="O574" s="133" t="s">
        <v>1326</v>
      </c>
      <c r="P574" s="133" t="s">
        <v>1325</v>
      </c>
      <c r="Q574" s="133" t="s">
        <v>1404</v>
      </c>
      <c r="R574" s="325" t="s">
        <v>4246</v>
      </c>
    </row>
    <row r="575" spans="2:18">
      <c r="B575" s="182" t="str">
        <f t="shared" si="27"/>
        <v>Štandardná vzdialenosť závesov od okraja je nastavená na 100mm (minimálna 80mm). V prípade potreby zmeniť rozstup medzi jednotlivými závesy, prosím, uveďte do poznámky (v mm).</v>
      </c>
      <c r="M575" s="133" t="s">
        <v>1329</v>
      </c>
      <c r="N575" s="133" t="s">
        <v>1330</v>
      </c>
      <c r="O575" s="133" t="s">
        <v>1331</v>
      </c>
      <c r="P575" s="133" t="s">
        <v>2080</v>
      </c>
      <c r="Q575" s="133" t="s">
        <v>1577</v>
      </c>
      <c r="R575" s="325" t="s">
        <v>4247</v>
      </c>
    </row>
    <row r="576" spans="2:18" ht="150">
      <c r="B576" s="182" t="str">
        <f t="shared" si="27"/>
        <v xml:space="preserve">Do zelených buniek uveďte vzdialenosť vŕtania úchytky od kraja rámčeka._x000D_
Ak požadujete vŕtanie úchytky na stred rámčeka a do stredu profilu, vpíšte prosím do zelených buniek " x ". </v>
      </c>
      <c r="M576" s="203" t="s">
        <v>1612</v>
      </c>
      <c r="N576" s="203" t="s">
        <v>1941</v>
      </c>
      <c r="O576" s="203" t="s">
        <v>3567</v>
      </c>
      <c r="P576" s="203" t="s">
        <v>2079</v>
      </c>
      <c r="Q576" s="203" t="s">
        <v>1613</v>
      </c>
      <c r="R576" s="330" t="s">
        <v>4248</v>
      </c>
    </row>
    <row r="577" spans="2:18">
      <c r="B577" s="182" t="str">
        <f t="shared" si="27"/>
        <v>Pri použití pántov je maximálny odporúčaný rozmer 600mm</v>
      </c>
      <c r="M577" s="133" t="s">
        <v>3536</v>
      </c>
      <c r="N577" s="133" t="s">
        <v>3537</v>
      </c>
      <c r="O577" s="133" t="s">
        <v>3538</v>
      </c>
      <c r="P577" s="133" t="s">
        <v>3539</v>
      </c>
      <c r="Q577" s="133" t="s">
        <v>3540</v>
      </c>
      <c r="R577" s="325" t="s">
        <v>4249</v>
      </c>
    </row>
    <row r="578" spans="2:18">
      <c r="B578" s="182" t="str">
        <f t="shared" si="27"/>
        <v>Varna čierna výrobca odporúča dĺžku max. 1200 mm</v>
      </c>
      <c r="M578" s="133" t="s">
        <v>1425</v>
      </c>
      <c r="N578" s="133" t="s">
        <v>1426</v>
      </c>
      <c r="O578" s="133" t="s">
        <v>1427</v>
      </c>
      <c r="P578" s="133" t="s">
        <v>1428</v>
      </c>
      <c r="Q578" s="133" t="s">
        <v>1429</v>
      </c>
      <c r="R578" s="325" t="s">
        <v>4250</v>
      </c>
    </row>
    <row r="579" spans="2:18">
      <c r="B579" s="182" t="str">
        <f t="shared" si="27"/>
        <v>VarnA čierna výrobca odporúča dĺžku max. 1200 mm</v>
      </c>
      <c r="M579" s="133" t="s">
        <v>1425</v>
      </c>
      <c r="N579" s="133" t="s">
        <v>1430</v>
      </c>
      <c r="O579" s="133" t="s">
        <v>1427</v>
      </c>
      <c r="P579" s="133" t="s">
        <v>1428</v>
      </c>
      <c r="Q579" s="133" t="s">
        <v>1429</v>
      </c>
      <c r="R579" s="325" t="s">
        <v>4250</v>
      </c>
    </row>
    <row r="580" spans="2:18" ht="67.900000000000006" customHeight="1">
      <c r="B580" s="182" t="str">
        <f t="shared" si="27"/>
        <v>Rocca čierna dĺžka max. 2150 mm
Varny čierna dĺžka max. 1200 mm</v>
      </c>
      <c r="M580" s="203" t="s">
        <v>3063</v>
      </c>
      <c r="N580" s="203" t="s">
        <v>3064</v>
      </c>
      <c r="O580" s="203" t="s">
        <v>3065</v>
      </c>
      <c r="P580" s="203" t="s">
        <v>3066</v>
      </c>
      <c r="Q580" s="203" t="s">
        <v>3067</v>
      </c>
      <c r="R580" s="331" t="s">
        <v>4251</v>
      </c>
    </row>
    <row r="581" spans="2:18">
      <c r="B581" s="182" t="str">
        <f t="shared" si="27"/>
        <v>Objednávka skla</v>
      </c>
      <c r="M581" s="133" t="s">
        <v>1431</v>
      </c>
      <c r="N581" s="133" t="s">
        <v>1431</v>
      </c>
      <c r="O581" s="133" t="s">
        <v>1432</v>
      </c>
      <c r="P581" s="133" t="s">
        <v>1433</v>
      </c>
      <c r="Q581" s="133" t="s">
        <v>1434</v>
      </c>
      <c r="R581" s="325" t="s">
        <v>4252</v>
      </c>
    </row>
    <row r="582" spans="2:18">
      <c r="B582" s="182" t="str">
        <f t="shared" si="27"/>
        <v>s pružinou a tlmením</v>
      </c>
      <c r="M582" s="133" t="s">
        <v>2096</v>
      </c>
      <c r="N582" s="133" t="s">
        <v>2099</v>
      </c>
      <c r="O582" s="133" t="s">
        <v>2102</v>
      </c>
      <c r="P582" s="133" t="s">
        <v>2105</v>
      </c>
      <c r="Q582" s="133" t="s">
        <v>2108</v>
      </c>
      <c r="R582" s="325" t="s">
        <v>4253</v>
      </c>
    </row>
    <row r="583" spans="2:18">
      <c r="B583" s="182" t="str">
        <f t="shared" si="27"/>
        <v>s pružinou bez tlmenia</v>
      </c>
      <c r="M583" s="133" t="s">
        <v>2097</v>
      </c>
      <c r="N583" s="133" t="s">
        <v>2100</v>
      </c>
      <c r="O583" s="133" t="s">
        <v>2103</v>
      </c>
      <c r="P583" s="133" t="s">
        <v>2106</v>
      </c>
      <c r="Q583" s="133" t="s">
        <v>2109</v>
      </c>
      <c r="R583" s="325" t="s">
        <v>4254</v>
      </c>
    </row>
    <row r="584" spans="2:18">
      <c r="B584" s="182" t="str">
        <f t="shared" si="27"/>
        <v>tip-on bez pružiny / tlmenia</v>
      </c>
      <c r="M584" s="133" t="s">
        <v>2098</v>
      </c>
      <c r="N584" s="133" t="s">
        <v>2101</v>
      </c>
      <c r="O584" s="133" t="s">
        <v>2104</v>
      </c>
      <c r="P584" s="133" t="s">
        <v>2107</v>
      </c>
      <c r="Q584" s="133" t="s">
        <v>2110</v>
      </c>
      <c r="R584" s="325" t="s">
        <v>4255</v>
      </c>
    </row>
    <row r="585" spans="2:18">
      <c r="B585" s="182" t="str">
        <f t="shared" si="27"/>
        <v>strieborná</v>
      </c>
      <c r="M585" s="133" t="s">
        <v>1102</v>
      </c>
      <c r="N585" s="133" t="s">
        <v>1600</v>
      </c>
      <c r="O585" s="133" t="s">
        <v>1601</v>
      </c>
      <c r="P585" s="133" t="s">
        <v>1596</v>
      </c>
      <c r="Q585" s="133" t="s">
        <v>1598</v>
      </c>
      <c r="R585" s="325" t="s">
        <v>4256</v>
      </c>
    </row>
    <row r="586" spans="2:18">
      <c r="B586" s="182" t="str">
        <f t="shared" si="27"/>
        <v>čierna</v>
      </c>
      <c r="M586" s="133" t="s">
        <v>1104</v>
      </c>
      <c r="N586" s="133" t="s">
        <v>1212</v>
      </c>
      <c r="O586" s="133" t="s">
        <v>1602</v>
      </c>
      <c r="P586" s="133" t="s">
        <v>1597</v>
      </c>
      <c r="Q586" s="133" t="s">
        <v>1599</v>
      </c>
      <c r="R586" s="325" t="s">
        <v>4257</v>
      </c>
    </row>
    <row r="587" spans="2:18">
      <c r="B587" s="182" t="str">
        <f t="shared" si="27"/>
        <v>Pri použití so sklom je maximálny odporúčaný rozmer 1500 x 600 mm</v>
      </c>
      <c r="M587" s="133" t="s">
        <v>1616</v>
      </c>
      <c r="N587" s="133" t="s">
        <v>1619</v>
      </c>
      <c r="O587" s="133" t="s">
        <v>1617</v>
      </c>
      <c r="P587" s="133" t="s">
        <v>1618</v>
      </c>
      <c r="Q587" s="133" t="s">
        <v>1615</v>
      </c>
      <c r="R587" s="325" t="s">
        <v>4049</v>
      </c>
    </row>
    <row r="588" spans="2:18">
      <c r="B588" s="133" t="s">
        <v>1940</v>
      </c>
      <c r="R588" s="325"/>
    </row>
    <row r="589" spans="2:18">
      <c r="B589" s="182" t="str">
        <f t="shared" si="27"/>
        <v>(Spodného)</v>
      </c>
      <c r="M589" t="s">
        <v>3197</v>
      </c>
      <c r="N589" s="133" t="s">
        <v>1942</v>
      </c>
      <c r="O589" s="133" t="s">
        <v>1954</v>
      </c>
      <c r="P589" s="133" t="s">
        <v>1946</v>
      </c>
      <c r="Q589" s="133" t="s">
        <v>1950</v>
      </c>
      <c r="R589" t="s">
        <v>4050</v>
      </c>
    </row>
    <row r="590" spans="2:18">
      <c r="B590" s="182" t="str">
        <f t="shared" si="27"/>
        <v>(Ľavého)</v>
      </c>
      <c r="M590" t="s">
        <v>3198</v>
      </c>
      <c r="N590" s="133" t="s">
        <v>1943</v>
      </c>
      <c r="O590" s="133" t="s">
        <v>1955</v>
      </c>
      <c r="P590" s="133" t="s">
        <v>1947</v>
      </c>
      <c r="Q590" s="133" t="s">
        <v>1951</v>
      </c>
      <c r="R590" t="s">
        <v>4051</v>
      </c>
    </row>
    <row r="591" spans="2:18">
      <c r="B591" s="182" t="str">
        <f t="shared" si="27"/>
        <v>(Horného)</v>
      </c>
      <c r="M591" t="s">
        <v>3199</v>
      </c>
      <c r="N591" s="133" t="s">
        <v>1944</v>
      </c>
      <c r="O591" s="133" t="s">
        <v>1956</v>
      </c>
      <c r="P591" s="133" t="s">
        <v>1948</v>
      </c>
      <c r="Q591" s="133" t="s">
        <v>1952</v>
      </c>
      <c r="R591" t="s">
        <v>4052</v>
      </c>
    </row>
    <row r="592" spans="2:18">
      <c r="B592" s="182" t="str">
        <f t="shared" si="27"/>
        <v>(Pravého)</v>
      </c>
      <c r="M592" t="s">
        <v>1945</v>
      </c>
      <c r="N592" s="133" t="s">
        <v>1945</v>
      </c>
      <c r="O592" s="133" t="s">
        <v>1957</v>
      </c>
      <c r="P592" s="133" t="s">
        <v>1949</v>
      </c>
      <c r="Q592" s="133" t="s">
        <v>1953</v>
      </c>
      <c r="R592" t="s">
        <v>4053</v>
      </c>
    </row>
    <row r="593" spans="2:18">
      <c r="B593" s="182" t="str">
        <f t="shared" si="27"/>
        <v>275672- autom. 30N sivá</v>
      </c>
      <c r="M593" s="133" t="s">
        <v>1959</v>
      </c>
      <c r="N593" s="133" t="s">
        <v>1960</v>
      </c>
      <c r="O593" s="133" t="s">
        <v>1961</v>
      </c>
      <c r="P593" s="133" t="s">
        <v>1962</v>
      </c>
      <c r="Q593" s="133" t="s">
        <v>1963</v>
      </c>
      <c r="R593" t="s">
        <v>4054</v>
      </c>
    </row>
    <row r="594" spans="2:18">
      <c r="B594" s="182" t="str">
        <f t="shared" si="27"/>
        <v>275673- autom. 60N sivá</v>
      </c>
      <c r="M594" s="133" t="s">
        <v>1964</v>
      </c>
      <c r="N594" s="133" t="s">
        <v>1965</v>
      </c>
      <c r="O594" s="133" t="s">
        <v>1966</v>
      </c>
      <c r="P594" s="133" t="s">
        <v>1967</v>
      </c>
      <c r="Q594" s="133" t="s">
        <v>1968</v>
      </c>
      <c r="R594" t="s">
        <v>4055</v>
      </c>
    </row>
    <row r="595" spans="2:18">
      <c r="B595" s="182" t="str">
        <f t="shared" si="27"/>
        <v>275674- autom. 80N sivá</v>
      </c>
      <c r="M595" s="133" t="s">
        <v>1969</v>
      </c>
      <c r="N595" s="133" t="s">
        <v>1970</v>
      </c>
      <c r="O595" s="133" t="s">
        <v>1971</v>
      </c>
      <c r="P595" s="133" t="s">
        <v>1972</v>
      </c>
      <c r="Q595" s="133" t="s">
        <v>1973</v>
      </c>
      <c r="R595" t="s">
        <v>4056</v>
      </c>
    </row>
    <row r="596" spans="2:18">
      <c r="B596" s="182" t="str">
        <f t="shared" si="27"/>
        <v>275675- autom. 100N sivá</v>
      </c>
      <c r="M596" s="133" t="s">
        <v>1974</v>
      </c>
      <c r="N596" s="133" t="s">
        <v>1975</v>
      </c>
      <c r="O596" s="133" t="s">
        <v>1976</v>
      </c>
      <c r="P596" s="133" t="s">
        <v>1977</v>
      </c>
      <c r="Q596" s="133" t="s">
        <v>1978</v>
      </c>
      <c r="R596" t="s">
        <v>4057</v>
      </c>
    </row>
    <row r="597" spans="2:18">
      <c r="B597" s="182" t="str">
        <f t="shared" si="27"/>
        <v>275676- autom. 120N sivá</v>
      </c>
      <c r="M597" s="133" t="s">
        <v>1979</v>
      </c>
      <c r="N597" s="133" t="s">
        <v>1980</v>
      </c>
      <c r="O597" s="133" t="s">
        <v>1981</v>
      </c>
      <c r="P597" s="133" t="s">
        <v>1982</v>
      </c>
      <c r="Q597" s="133" t="s">
        <v>1983</v>
      </c>
      <c r="R597" t="s">
        <v>4058</v>
      </c>
    </row>
    <row r="598" spans="2:18">
      <c r="B598" s="204" t="s">
        <v>1958</v>
      </c>
      <c r="R598"/>
    </row>
    <row r="599" spans="2:18">
      <c r="B599" s="182" t="str">
        <f t="shared" si="27"/>
        <v>248162- autom. 30N biela</v>
      </c>
      <c r="M599" s="133" t="s">
        <v>1984</v>
      </c>
      <c r="N599" s="133" t="s">
        <v>1985</v>
      </c>
      <c r="O599" s="133" t="s">
        <v>1986</v>
      </c>
      <c r="P599" s="133" t="s">
        <v>1987</v>
      </c>
      <c r="Q599" s="133" t="s">
        <v>1988</v>
      </c>
      <c r="R599" t="s">
        <v>4059</v>
      </c>
    </row>
    <row r="600" spans="2:18">
      <c r="B600" s="182" t="str">
        <f t="shared" si="27"/>
        <v>248163- autom. 60N biela</v>
      </c>
      <c r="M600" s="133" t="s">
        <v>1989</v>
      </c>
      <c r="N600" s="133" t="s">
        <v>1990</v>
      </c>
      <c r="O600" s="133" t="s">
        <v>1991</v>
      </c>
      <c r="P600" s="133" t="s">
        <v>1992</v>
      </c>
      <c r="Q600" s="133" t="s">
        <v>1993</v>
      </c>
      <c r="R600" t="s">
        <v>4060</v>
      </c>
    </row>
    <row r="601" spans="2:18">
      <c r="B601" s="182" t="str">
        <f t="shared" si="27"/>
        <v>248164- autom. 80N biela</v>
      </c>
      <c r="M601" s="133" t="s">
        <v>1994</v>
      </c>
      <c r="N601" s="133" t="s">
        <v>1995</v>
      </c>
      <c r="O601" s="133" t="s">
        <v>1996</v>
      </c>
      <c r="P601" s="133" t="s">
        <v>1997</v>
      </c>
      <c r="Q601" s="133" t="s">
        <v>1998</v>
      </c>
      <c r="R601" t="s">
        <v>4061</v>
      </c>
    </row>
    <row r="602" spans="2:18">
      <c r="B602" s="182" t="str">
        <f t="shared" si="27"/>
        <v>248165- autom. 100N biela</v>
      </c>
      <c r="M602" s="133" t="s">
        <v>1999</v>
      </c>
      <c r="N602" s="133" t="s">
        <v>2000</v>
      </c>
      <c r="O602" s="133" t="s">
        <v>2001</v>
      </c>
      <c r="P602" s="133" t="s">
        <v>2002</v>
      </c>
      <c r="Q602" s="133" t="s">
        <v>2003</v>
      </c>
      <c r="R602" t="s">
        <v>4062</v>
      </c>
    </row>
    <row r="603" spans="2:18">
      <c r="B603" s="182" t="str">
        <f t="shared" si="27"/>
        <v>248166- autom. 120N biela</v>
      </c>
      <c r="M603" s="133" t="s">
        <v>2004</v>
      </c>
      <c r="N603" s="133" t="s">
        <v>2005</v>
      </c>
      <c r="O603" s="133" t="s">
        <v>2006</v>
      </c>
      <c r="P603" s="133" t="s">
        <v>2007</v>
      </c>
      <c r="Q603" s="133" t="s">
        <v>2008</v>
      </c>
      <c r="R603" t="s">
        <v>4063</v>
      </c>
    </row>
    <row r="604" spans="2:18">
      <c r="B604" s="182" t="str">
        <f t="shared" si="27"/>
        <v>284250- poloh. 60N sivá</v>
      </c>
      <c r="M604" s="133" t="s">
        <v>2009</v>
      </c>
      <c r="N604" s="133" t="s">
        <v>2010</v>
      </c>
      <c r="O604" s="133" t="s">
        <v>2011</v>
      </c>
      <c r="P604" s="133" t="s">
        <v>2012</v>
      </c>
      <c r="Q604" s="133" t="s">
        <v>2013</v>
      </c>
      <c r="R604" t="s">
        <v>4064</v>
      </c>
    </row>
    <row r="605" spans="2:18">
      <c r="B605" s="204" t="s">
        <v>1958</v>
      </c>
      <c r="R605"/>
    </row>
    <row r="606" spans="2:18">
      <c r="B606" s="182" t="str">
        <f t="shared" si="27"/>
        <v>284251- poloh. 80N sivá</v>
      </c>
      <c r="M606" s="133" t="s">
        <v>2014</v>
      </c>
      <c r="N606" s="133" t="s">
        <v>2015</v>
      </c>
      <c r="O606" s="133" t="s">
        <v>2016</v>
      </c>
      <c r="P606" s="133" t="s">
        <v>2017</v>
      </c>
      <c r="Q606" s="133" t="s">
        <v>2018</v>
      </c>
      <c r="R606" t="s">
        <v>4065</v>
      </c>
    </row>
    <row r="607" spans="2:18">
      <c r="B607" s="182" t="str">
        <f t="shared" si="27"/>
        <v>284252- poloh. 100N sivá</v>
      </c>
      <c r="M607" s="133" t="s">
        <v>2019</v>
      </c>
      <c r="N607" s="133" t="s">
        <v>2020</v>
      </c>
      <c r="O607" s="133" t="s">
        <v>2021</v>
      </c>
      <c r="P607" s="133" t="s">
        <v>2022</v>
      </c>
      <c r="Q607" s="133" t="s">
        <v>2023</v>
      </c>
      <c r="R607" t="s">
        <v>4066</v>
      </c>
    </row>
    <row r="608" spans="2:18">
      <c r="B608" s="182" t="str">
        <f t="shared" si="27"/>
        <v>284253- poloh. 120N sivá</v>
      </c>
      <c r="M608" s="133" t="s">
        <v>2024</v>
      </c>
      <c r="N608" s="133" t="s">
        <v>2025</v>
      </c>
      <c r="O608" s="133" t="s">
        <v>2026</v>
      </c>
      <c r="P608" s="133" t="s">
        <v>2027</v>
      </c>
      <c r="Q608" s="133" t="s">
        <v>2028</v>
      </c>
      <c r="R608" t="s">
        <v>4067</v>
      </c>
    </row>
    <row r="609" spans="2:18">
      <c r="B609" s="182" t="str">
        <f t="shared" si="27"/>
        <v>284254- poloh. 60N biela</v>
      </c>
      <c r="M609" s="133" t="s">
        <v>2029</v>
      </c>
      <c r="N609" s="133" t="s">
        <v>2030</v>
      </c>
      <c r="O609" s="133" t="s">
        <v>2031</v>
      </c>
      <c r="P609" s="133" t="s">
        <v>2032</v>
      </c>
      <c r="Q609" s="133" t="s">
        <v>2033</v>
      </c>
      <c r="R609" t="s">
        <v>4068</v>
      </c>
    </row>
    <row r="610" spans="2:18">
      <c r="B610" s="182" t="str">
        <f t="shared" si="27"/>
        <v>284255- poloh. 80N biela</v>
      </c>
      <c r="M610" s="133" t="s">
        <v>2034</v>
      </c>
      <c r="N610" s="133" t="s">
        <v>2035</v>
      </c>
      <c r="O610" s="133" t="s">
        <v>2036</v>
      </c>
      <c r="P610" s="133" t="s">
        <v>2037</v>
      </c>
      <c r="Q610" s="133" t="s">
        <v>2038</v>
      </c>
      <c r="R610" t="s">
        <v>4069</v>
      </c>
    </row>
    <row r="611" spans="2:18">
      <c r="B611" s="182" t="str">
        <f t="shared" si="27"/>
        <v>284256- poloh. 100N biela</v>
      </c>
      <c r="M611" s="133" t="s">
        <v>2039</v>
      </c>
      <c r="N611" s="133" t="s">
        <v>2040</v>
      </c>
      <c r="O611" s="133" t="s">
        <v>2041</v>
      </c>
      <c r="P611" s="133" t="s">
        <v>2042</v>
      </c>
      <c r="Q611" s="133" t="s">
        <v>2043</v>
      </c>
      <c r="R611" t="s">
        <v>4070</v>
      </c>
    </row>
    <row r="612" spans="2:18">
      <c r="B612" s="182" t="str">
        <f t="shared" si="27"/>
        <v>284257- poloh. 120N biela</v>
      </c>
      <c r="M612" s="133" t="s">
        <v>2044</v>
      </c>
      <c r="N612" s="133" t="s">
        <v>2045</v>
      </c>
      <c r="O612" s="133" t="s">
        <v>2046</v>
      </c>
      <c r="P612" s="133" t="s">
        <v>2047</v>
      </c>
      <c r="Q612" s="133" t="s">
        <v>2048</v>
      </c>
      <c r="R612" t="s">
        <v>4071</v>
      </c>
    </row>
    <row r="613" spans="2:18">
      <c r="B613" s="204" t="s">
        <v>1958</v>
      </c>
      <c r="R613" s="325"/>
    </row>
    <row r="614" spans="2:18">
      <c r="B614" s="182" t="str">
        <f t="shared" si="27"/>
        <v>275689-spodná 80N sivá</v>
      </c>
      <c r="M614" s="133" t="s">
        <v>3277</v>
      </c>
      <c r="N614" s="133" t="s">
        <v>2049</v>
      </c>
      <c r="O614" s="133" t="s">
        <v>2050</v>
      </c>
      <c r="P614" s="133" t="s">
        <v>2051</v>
      </c>
      <c r="Q614" s="133" t="s">
        <v>2052</v>
      </c>
      <c r="R614" s="325" t="s">
        <v>4258</v>
      </c>
    </row>
    <row r="615" spans="2:18">
      <c r="B615" s="182" t="str">
        <f t="shared" si="27"/>
        <v>248167-spodná 80N biela</v>
      </c>
      <c r="M615" s="133" t="s">
        <v>3278</v>
      </c>
      <c r="N615" s="133" t="s">
        <v>2053</v>
      </c>
      <c r="O615" s="133" t="s">
        <v>2054</v>
      </c>
      <c r="P615" s="133" t="s">
        <v>2055</v>
      </c>
      <c r="Q615" s="133" t="s">
        <v>2056</v>
      </c>
      <c r="R615" s="325" t="s">
        <v>4259</v>
      </c>
    </row>
    <row r="616" spans="2:18">
      <c r="B616" s="182" t="str">
        <f t="shared" si="27"/>
        <v>507355-22L3200-výška skrinky=300 – 339 mm</v>
      </c>
      <c r="M616" s="133" t="s">
        <v>2297</v>
      </c>
      <c r="N616" s="133" t="s">
        <v>2301</v>
      </c>
      <c r="O616" s="133" t="s">
        <v>2305</v>
      </c>
      <c r="P616" s="133" t="s">
        <v>2309</v>
      </c>
      <c r="Q616" s="133" t="s">
        <v>2313</v>
      </c>
      <c r="R616" s="325" t="s">
        <v>4260</v>
      </c>
    </row>
    <row r="617" spans="2:18">
      <c r="B617" s="182" t="str">
        <f t="shared" si="27"/>
        <v>507356-22L3500-výška skrinky=340 – 389 mm</v>
      </c>
      <c r="M617" s="133" t="s">
        <v>2298</v>
      </c>
      <c r="N617" s="133" t="s">
        <v>2302</v>
      </c>
      <c r="O617" s="133" t="s">
        <v>2306</v>
      </c>
      <c r="P617" s="133" t="s">
        <v>2310</v>
      </c>
      <c r="Q617" s="133" t="s">
        <v>2314</v>
      </c>
      <c r="R617" s="325" t="s">
        <v>4261</v>
      </c>
    </row>
    <row r="618" spans="2:18">
      <c r="B618" s="182" t="str">
        <f t="shared" si="27"/>
        <v>507357-22L3800-výška skrinky=390 – 540 mm</v>
      </c>
      <c r="M618" s="133" t="s">
        <v>2299</v>
      </c>
      <c r="N618" s="133" t="s">
        <v>2303</v>
      </c>
      <c r="O618" s="133" t="s">
        <v>2307</v>
      </c>
      <c r="P618" s="133" t="s">
        <v>2311</v>
      </c>
      <c r="Q618" s="133" t="s">
        <v>2315</v>
      </c>
      <c r="R618" s="325" t="s">
        <v>4262</v>
      </c>
    </row>
    <row r="619" spans="2:18">
      <c r="B619" s="182" t="str">
        <f t="shared" si="27"/>
        <v>507358-22L3900-výška skrinky=480 – 580 mm</v>
      </c>
      <c r="M619" s="133" t="s">
        <v>2300</v>
      </c>
      <c r="N619" s="133" t="s">
        <v>2304</v>
      </c>
      <c r="O619" s="133" t="s">
        <v>2308</v>
      </c>
      <c r="P619" s="133" t="s">
        <v>2312</v>
      </c>
      <c r="Q619" s="133" t="s">
        <v>2316</v>
      </c>
      <c r="R619" s="325" t="s">
        <v>4263</v>
      </c>
    </row>
    <row r="620" spans="2:18">
      <c r="B620" s="182" t="str">
        <f t="shared" si="27"/>
        <v>Servo:</v>
      </c>
      <c r="M620" s="133" t="s">
        <v>2057</v>
      </c>
      <c r="N620" s="133" t="s">
        <v>2057</v>
      </c>
      <c r="O620" s="133" t="s">
        <v>2057</v>
      </c>
      <c r="P620" s="133" t="s">
        <v>2057</v>
      </c>
      <c r="Q620" s="133" t="s">
        <v>2057</v>
      </c>
      <c r="R620" s="325" t="s">
        <v>4264</v>
      </c>
    </row>
    <row r="621" spans="2:18">
      <c r="B621" s="182" t="str">
        <f t="shared" si="27"/>
        <v>197612-21L3200.01-výška skrinky=300 – 349 mm</v>
      </c>
      <c r="M621" s="133" t="s">
        <v>2058</v>
      </c>
      <c r="N621" s="133" t="s">
        <v>2059</v>
      </c>
      <c r="O621" s="133" t="s">
        <v>2060</v>
      </c>
      <c r="P621" s="133" t="s">
        <v>2061</v>
      </c>
      <c r="Q621" s="133" t="s">
        <v>2062</v>
      </c>
      <c r="R621" s="325" t="s">
        <v>4265</v>
      </c>
    </row>
    <row r="622" spans="2:18">
      <c r="B622" s="182" t="str">
        <f t="shared" si="27"/>
        <v>197613-21L3500.01-výška skrinky=350 – 399 mm</v>
      </c>
      <c r="M622" s="133" t="s">
        <v>2063</v>
      </c>
      <c r="N622" s="133" t="s">
        <v>2064</v>
      </c>
      <c r="O622" s="133" t="s">
        <v>2065</v>
      </c>
      <c r="P622" s="133" t="s">
        <v>2066</v>
      </c>
      <c r="Q622" s="133" t="s">
        <v>2067</v>
      </c>
      <c r="R622" s="325" t="s">
        <v>4266</v>
      </c>
    </row>
    <row r="623" spans="2:18">
      <c r="B623" s="182" t="str">
        <f t="shared" si="27"/>
        <v>197614-21L3800.01-výška skrinky=400 – 550 mm</v>
      </c>
      <c r="M623" s="133" t="s">
        <v>2068</v>
      </c>
      <c r="N623" s="133" t="s">
        <v>2069</v>
      </c>
      <c r="O623" s="133" t="s">
        <v>2070</v>
      </c>
      <c r="P623" s="133" t="s">
        <v>2071</v>
      </c>
      <c r="Q623" s="133" t="s">
        <v>2072</v>
      </c>
      <c r="R623" s="325" t="s">
        <v>4267</v>
      </c>
    </row>
    <row r="624" spans="2:18">
      <c r="B624" s="182" t="str">
        <f t="shared" si="27"/>
        <v>197615-21L3900.01-výška skrinky=450 – 580 mm</v>
      </c>
      <c r="M624" s="133" t="s">
        <v>2073</v>
      </c>
      <c r="N624" s="133" t="s">
        <v>2074</v>
      </c>
      <c r="O624" s="133" t="s">
        <v>2075</v>
      </c>
      <c r="P624" s="133" t="s">
        <v>2076</v>
      </c>
      <c r="Q624" s="133" t="s">
        <v>2077</v>
      </c>
      <c r="R624" s="325" t="s">
        <v>4268</v>
      </c>
    </row>
    <row r="625" spans="2:18">
      <c r="B625" s="182" t="str">
        <f t="shared" si="27"/>
        <v>Typ skla/sieťky</v>
      </c>
      <c r="M625" s="175" t="s">
        <v>2291</v>
      </c>
      <c r="N625" s="133" t="s">
        <v>2292</v>
      </c>
      <c r="O625" s="133" t="s">
        <v>2293</v>
      </c>
      <c r="P625" s="133" t="s">
        <v>2294</v>
      </c>
      <c r="Q625" s="133" t="s">
        <v>2295</v>
      </c>
      <c r="R625" s="325" t="s">
        <v>4214</v>
      </c>
    </row>
    <row r="626" spans="2:18" ht="75">
      <c r="B626" s="182" t="str">
        <f t="shared" si="27"/>
        <v>Do zelených buniek uveďte vzdialenosť vŕtania úchytky od vonkajšieho kraja rámčeka.</v>
      </c>
      <c r="M626" s="203" t="s">
        <v>2091</v>
      </c>
      <c r="N626" s="203" t="s">
        <v>2092</v>
      </c>
      <c r="O626" s="203" t="s">
        <v>2093</v>
      </c>
      <c r="P626" s="203" t="s">
        <v>2094</v>
      </c>
      <c r="Q626" s="203" t="s">
        <v>2095</v>
      </c>
      <c r="R626" s="330" t="s">
        <v>4269</v>
      </c>
    </row>
    <row r="627" spans="2:18">
      <c r="B627" s="182" t="str">
        <f t="shared" si="27"/>
        <v>Neplatná kombinácia</v>
      </c>
      <c r="M627" s="133" t="s">
        <v>2111</v>
      </c>
      <c r="N627" s="133" t="s">
        <v>2115</v>
      </c>
      <c r="O627" s="133" t="s">
        <v>2114</v>
      </c>
      <c r="P627" s="133" t="s">
        <v>2113</v>
      </c>
      <c r="Q627" s="133" t="s">
        <v>2112</v>
      </c>
      <c r="R627" s="325" t="s">
        <v>4270</v>
      </c>
    </row>
    <row r="628" spans="2:18">
      <c r="B628" s="182" t="str">
        <f t="shared" si="27"/>
        <v>krížová skrutka</v>
      </c>
      <c r="M628" s="175" t="s">
        <v>2123</v>
      </c>
      <c r="N628" s="175" t="s">
        <v>2129</v>
      </c>
      <c r="O628" s="133" t="s">
        <v>2130</v>
      </c>
      <c r="P628" s="133" t="s">
        <v>2131</v>
      </c>
      <c r="Q628" s="133" t="s">
        <v>2132</v>
      </c>
      <c r="R628" s="325" t="s">
        <v>4271</v>
      </c>
    </row>
    <row r="629" spans="2:18">
      <c r="B629" s="182" t="str">
        <f t="shared" si="27"/>
        <v>na vrut (s excentrom)</v>
      </c>
      <c r="M629" s="175" t="s">
        <v>2121</v>
      </c>
      <c r="N629" s="175" t="s">
        <v>2133</v>
      </c>
      <c r="O629" s="133" t="s">
        <v>2134</v>
      </c>
      <c r="P629" s="133" t="s">
        <v>2135</v>
      </c>
      <c r="Q629" s="133" t="s">
        <v>2136</v>
      </c>
      <c r="R629" s="325" t="s">
        <v>4272</v>
      </c>
    </row>
    <row r="630" spans="2:18">
      <c r="B630" s="182" t="str">
        <f t="shared" si="27"/>
        <v>euroskrut</v>
      </c>
      <c r="M630" s="175" t="s">
        <v>2124</v>
      </c>
      <c r="N630" s="175" t="s">
        <v>2137</v>
      </c>
      <c r="O630" s="133" t="s">
        <v>2152</v>
      </c>
      <c r="P630" s="133" t="s">
        <v>2138</v>
      </c>
      <c r="Q630" s="133" t="s">
        <v>2139</v>
      </c>
      <c r="R630" s="325" t="s">
        <v>4273</v>
      </c>
    </row>
    <row r="631" spans="2:18">
      <c r="B631" s="182" t="str">
        <f t="shared" si="27"/>
        <v>křížová expando</v>
      </c>
      <c r="M631" s="175" t="s">
        <v>2125</v>
      </c>
      <c r="N631" s="175" t="s">
        <v>2140</v>
      </c>
      <c r="O631" s="133" t="s">
        <v>2153</v>
      </c>
      <c r="P631" s="133" t="s">
        <v>2141</v>
      </c>
      <c r="Q631" s="133" t="s">
        <v>2141</v>
      </c>
      <c r="R631" s="325" t="s">
        <v>4274</v>
      </c>
    </row>
    <row r="632" spans="2:18">
      <c r="B632" s="182" t="str">
        <f t="shared" si="27"/>
        <v>priama Skrut</v>
      </c>
      <c r="M632" s="175" t="s">
        <v>2126</v>
      </c>
      <c r="N632" s="175" t="s">
        <v>2142</v>
      </c>
      <c r="O632" s="133" t="s">
        <v>2143</v>
      </c>
      <c r="P632" s="133" t="s">
        <v>2145</v>
      </c>
      <c r="Q632" s="133" t="s">
        <v>2144</v>
      </c>
      <c r="R632" s="325" t="s">
        <v>4275</v>
      </c>
    </row>
    <row r="633" spans="2:18">
      <c r="B633" s="182" t="str">
        <f t="shared" si="27"/>
        <v>přímá euro</v>
      </c>
      <c r="M633" s="175" t="s">
        <v>2127</v>
      </c>
      <c r="N633" s="175" t="s">
        <v>2127</v>
      </c>
      <c r="O633" s="133" t="s">
        <v>2148</v>
      </c>
      <c r="P633" s="133" t="s">
        <v>2146</v>
      </c>
      <c r="Q633" s="133" t="s">
        <v>2147</v>
      </c>
      <c r="R633" s="325" t="s">
        <v>4276</v>
      </c>
    </row>
    <row r="634" spans="2:18">
      <c r="B634" s="182" t="str">
        <f t="shared" si="27"/>
        <v>přímá hmoždinka</v>
      </c>
      <c r="M634" s="175" t="s">
        <v>2128</v>
      </c>
      <c r="N634" s="175" t="s">
        <v>2128</v>
      </c>
      <c r="O634" s="133" t="s">
        <v>2149</v>
      </c>
      <c r="P634" s="133" t="s">
        <v>2150</v>
      </c>
      <c r="Q634" s="133" t="s">
        <v>2151</v>
      </c>
      <c r="R634" s="325" t="s">
        <v>4277</v>
      </c>
    </row>
    <row r="635" spans="2:18">
      <c r="B635" s="182" t="str">
        <f t="shared" ref="B635:B651" si="28">IF($D$1=1,M635,IF($D$1=2,N635,IF($D$1=3,O635,IF($D$1=4,P635,IF($D$1=5,Q635,IF($D$1=6,R635,0))))))</f>
        <v>dĺžka max. 2150 mm</v>
      </c>
      <c r="M635" s="133" t="s">
        <v>2167</v>
      </c>
      <c r="N635" s="133" t="s">
        <v>2168</v>
      </c>
      <c r="O635" s="133" t="s">
        <v>2169</v>
      </c>
      <c r="P635" s="133" t="s">
        <v>2269</v>
      </c>
      <c r="Q635" s="133" t="s">
        <v>2170</v>
      </c>
      <c r="R635" s="325" t="s">
        <v>4278</v>
      </c>
    </row>
    <row r="636" spans="2:18">
      <c r="B636" s="182" t="str">
        <f t="shared" si="28"/>
        <v>Vzdialenosť od spodného okraja</v>
      </c>
      <c r="M636" s="175" t="s">
        <v>3275</v>
      </c>
      <c r="N636" s="133" t="s">
        <v>2186</v>
      </c>
      <c r="O636" s="133" t="s">
        <v>2184</v>
      </c>
      <c r="P636" s="133" t="s">
        <v>2188</v>
      </c>
      <c r="Q636" s="133" t="s">
        <v>2182</v>
      </c>
      <c r="R636" s="325" t="s">
        <v>4279</v>
      </c>
    </row>
    <row r="637" spans="2:18">
      <c r="B637" s="182" t="str">
        <f t="shared" si="28"/>
        <v>Vzdialenosť od horného okraja</v>
      </c>
      <c r="M637" s="175" t="s">
        <v>3276</v>
      </c>
      <c r="N637" s="133" t="s">
        <v>2187</v>
      </c>
      <c r="O637" s="133" t="s">
        <v>2185</v>
      </c>
      <c r="P637" s="133" t="s">
        <v>2189</v>
      </c>
      <c r="Q637" s="133" t="s">
        <v>2183</v>
      </c>
      <c r="R637" s="325" t="s">
        <v>4280</v>
      </c>
    </row>
    <row r="638" spans="2:18">
      <c r="B638" s="182" t="str">
        <f t="shared" si="28"/>
        <v>Bez úprav</v>
      </c>
      <c r="M638" s="133" t="s">
        <v>1139</v>
      </c>
      <c r="N638" s="133" t="s">
        <v>1139</v>
      </c>
      <c r="O638" s="133" t="s">
        <v>1140</v>
      </c>
      <c r="P638" s="133" t="s">
        <v>1138</v>
      </c>
      <c r="Q638" s="133" t="s">
        <v>1438</v>
      </c>
      <c r="R638" s="325" t="s">
        <v>4281</v>
      </c>
    </row>
    <row r="639" spans="2:18">
      <c r="B639" s="182" t="str">
        <f t="shared" si="28"/>
        <v>Kalené (termín dodania 4 týždne)</v>
      </c>
      <c r="M639" s="133" t="s">
        <v>3174</v>
      </c>
      <c r="N639" s="133" t="s">
        <v>3175</v>
      </c>
      <c r="O639" s="133" t="s">
        <v>3176</v>
      </c>
      <c r="P639" s="133" t="s">
        <v>3177</v>
      </c>
      <c r="Q639" s="133" t="s">
        <v>3178</v>
      </c>
      <c r="R639" s="325" t="s">
        <v>4282</v>
      </c>
    </row>
    <row r="640" spans="2:18">
      <c r="B640" s="182" t="str">
        <f t="shared" si="28"/>
        <v>Folie</v>
      </c>
      <c r="M640" s="133" t="s">
        <v>933</v>
      </c>
      <c r="N640" s="133" t="s">
        <v>933</v>
      </c>
      <c r="O640" s="133" t="s">
        <v>1141</v>
      </c>
      <c r="P640" s="133" t="s">
        <v>1142</v>
      </c>
      <c r="Q640" s="133" t="s">
        <v>1437</v>
      </c>
      <c r="R640" s="325" t="s">
        <v>4080</v>
      </c>
    </row>
    <row r="641" spans="2:18" ht="97.5">
      <c r="B641" s="182" t="str">
        <f t="shared" si="28"/>
        <v xml:space="preserve">Rámy bez skla sa dodávajú v demontovanom stave. </v>
      </c>
      <c r="M641" s="205" t="s">
        <v>2262</v>
      </c>
      <c r="N641" s="205" t="s">
        <v>2261</v>
      </c>
      <c r="O641" s="205" t="s">
        <v>2263</v>
      </c>
      <c r="P641" s="211" t="s">
        <v>2264</v>
      </c>
      <c r="Q641" s="233" t="s">
        <v>2329</v>
      </c>
      <c r="R641" s="325" t="s">
        <v>4283</v>
      </c>
    </row>
    <row r="642" spans="2:18" ht="74.25" customHeight="1">
      <c r="B642" s="182" t="str">
        <f t="shared" si="28"/>
        <v>Maximálny odporúčaný rozmer je 1500x600. Pri objednaní väčšieho rozmeru sa sklo môže vysunúť z profilu. Za také reklamácie výrobca nenesie zodpovednosť.</v>
      </c>
      <c r="M642" s="203" t="s">
        <v>2270</v>
      </c>
      <c r="N642" s="219" t="s">
        <v>2272</v>
      </c>
      <c r="O642" s="203" t="s">
        <v>2273</v>
      </c>
      <c r="P642" s="218" t="s">
        <v>2271</v>
      </c>
      <c r="Q642" s="203" t="s">
        <v>2274</v>
      </c>
      <c r="R642" s="330" t="s">
        <v>4284</v>
      </c>
    </row>
    <row r="643" spans="2:18">
      <c r="B643" s="182">
        <f t="shared" si="28"/>
        <v>0</v>
      </c>
      <c r="R643" s="325"/>
    </row>
    <row r="644" spans="2:18">
      <c r="B644" s="182" t="str">
        <f t="shared" si="28"/>
        <v>520405 SALICE AIR SOFT niklový závěs s úhlem otevírání 92° sada 2ks</v>
      </c>
      <c r="M644" s="34" t="s">
        <v>2575</v>
      </c>
      <c r="N644" s="34" t="s">
        <v>2575</v>
      </c>
      <c r="O644" s="34" t="s">
        <v>2576</v>
      </c>
      <c r="P644" t="s">
        <v>2577</v>
      </c>
      <c r="R644" t="s">
        <v>4285</v>
      </c>
    </row>
    <row r="645" spans="2:18">
      <c r="B645" s="182" t="str">
        <f t="shared" si="28"/>
        <v>520406 SALICE AIR PUSH TO OPEN niklový závěs s adaptérem sada 2ks</v>
      </c>
      <c r="M645" s="34" t="s">
        <v>2578</v>
      </c>
      <c r="N645" s="34" t="s">
        <v>2578</v>
      </c>
      <c r="O645" s="34" t="s">
        <v>2579</v>
      </c>
      <c r="P645" t="s">
        <v>2580</v>
      </c>
      <c r="R645" t="s">
        <v>4286</v>
      </c>
    </row>
    <row r="646" spans="2:18">
      <c r="B646" s="182" t="str">
        <f t="shared" si="28"/>
        <v>520407 SALICE AIR PUSH TO OPEN niklový závěs s adaptérem sada 2ks</v>
      </c>
      <c r="M646" s="34" t="s">
        <v>2581</v>
      </c>
      <c r="N646" s="34" t="s">
        <v>2581</v>
      </c>
      <c r="O646" s="34" t="s">
        <v>2582</v>
      </c>
      <c r="P646" t="s">
        <v>2580</v>
      </c>
      <c r="R646" t="s">
        <v>4287</v>
      </c>
    </row>
    <row r="647" spans="2:18">
      <c r="B647" s="182" t="str">
        <f t="shared" si="28"/>
        <v>520408 SALICE AIR SOFT niklový závěs s adaptérem sada 2ks</v>
      </c>
      <c r="M647" s="34" t="s">
        <v>2583</v>
      </c>
      <c r="N647" s="34" t="s">
        <v>2583</v>
      </c>
      <c r="O647" s="34" t="s">
        <v>2584</v>
      </c>
      <c r="P647" t="s">
        <v>2585</v>
      </c>
      <c r="R647" t="s">
        <v>4288</v>
      </c>
    </row>
    <row r="648" spans="2:18">
      <c r="B648" s="182" t="str">
        <f t="shared" si="28"/>
        <v>520410 SALICE AIR SOFT TITANIUM závěs s úhlem otevírání 92' sada 2ks</v>
      </c>
      <c r="M648" s="34" t="s">
        <v>2586</v>
      </c>
      <c r="N648" s="34" t="s">
        <v>2586</v>
      </c>
      <c r="O648" s="34" t="s">
        <v>2587</v>
      </c>
      <c r="P648" t="s">
        <v>2588</v>
      </c>
      <c r="R648" t="s">
        <v>4289</v>
      </c>
    </row>
    <row r="649" spans="2:18">
      <c r="B649" s="182" t="str">
        <f t="shared" si="28"/>
        <v>520411 SALICE AIR TITANIUM PUSH TO OPEN závěs sada 2ks</v>
      </c>
      <c r="M649" s="34" t="s">
        <v>2589</v>
      </c>
      <c r="N649" s="34" t="s">
        <v>2589</v>
      </c>
      <c r="O649" s="34" t="s">
        <v>2590</v>
      </c>
      <c r="P649" t="s">
        <v>2591</v>
      </c>
      <c r="R649" t="s">
        <v>4290</v>
      </c>
    </row>
    <row r="650" spans="2:18">
      <c r="B650" s="182" t="str">
        <f t="shared" si="28"/>
        <v>520412 SALICE AIR TITANIUM PUSH TO OPEN závěs s adaptérem sada 2ks</v>
      </c>
      <c r="M650" s="34" t="s">
        <v>2592</v>
      </c>
      <c r="N650" s="34" t="s">
        <v>2592</v>
      </c>
      <c r="O650" s="34" t="s">
        <v>2593</v>
      </c>
      <c r="P650" t="s">
        <v>2594</v>
      </c>
      <c r="R650" t="s">
        <v>4291</v>
      </c>
    </row>
    <row r="651" spans="2:18">
      <c r="B651" s="182" t="str">
        <f t="shared" si="28"/>
        <v>520413 SALICE AIR SOFT TITANIUM závěs s adaptérem sada 2ks</v>
      </c>
      <c r="M651" t="s">
        <v>2595</v>
      </c>
      <c r="N651" t="s">
        <v>2595</v>
      </c>
      <c r="O651" t="s">
        <v>2596</v>
      </c>
      <c r="P651" t="s">
        <v>2597</v>
      </c>
      <c r="R651" t="s">
        <v>4292</v>
      </c>
    </row>
    <row r="652" spans="2:18">
      <c r="R652" s="325"/>
    </row>
    <row r="653" spans="2:18">
      <c r="B653" s="182" t="str">
        <f t="shared" ref="B653:B654" si="29">IF($D$1=1,M653,IF($D$1=2,N653,IF($D$1=3,O653,IF($D$1=4,P653,IF($D$1=5,Q653,IF($D$1=6,R653,0))))))</f>
        <v>Výplň rámčeka sieťka</v>
      </c>
      <c r="M653" s="133" t="s">
        <v>2277</v>
      </c>
      <c r="N653" s="133" t="s">
        <v>2383</v>
      </c>
      <c r="O653" s="133" t="s">
        <v>2514</v>
      </c>
      <c r="P653" s="229" t="s">
        <v>4319</v>
      </c>
      <c r="Q653" s="133" t="s">
        <v>4320</v>
      </c>
      <c r="R653" t="s">
        <v>4321</v>
      </c>
    </row>
    <row r="654" spans="2:18">
      <c r="B654" s="182" t="str">
        <f t="shared" si="29"/>
        <v>max. rozmer 1000x500mm</v>
      </c>
      <c r="M654" s="133" t="s">
        <v>2281</v>
      </c>
      <c r="N654" s="133" t="s">
        <v>2282</v>
      </c>
      <c r="O654" s="133" t="s">
        <v>2283</v>
      </c>
      <c r="P654" s="133" t="s">
        <v>2284</v>
      </c>
      <c r="Q654" s="133" t="s">
        <v>2285</v>
      </c>
      <c r="R654" t="s">
        <v>4293</v>
      </c>
    </row>
    <row r="655" spans="2:18">
      <c r="B655" s="182"/>
      <c r="R655" s="325"/>
    </row>
    <row r="656" spans="2:18">
      <c r="B656" s="182" t="str">
        <f t="shared" ref="B656:B671" si="30">IF($D$1=1,M656,IF($D$1=2,N656,IF($D$1=3,O656,IF($D$1=4,P656,IF($D$1=5,Q656,IF($D$1=6,R656,0))))))</f>
        <v>Typ sieťky</v>
      </c>
      <c r="M656" s="133" t="s">
        <v>2286</v>
      </c>
      <c r="N656" s="133" t="s">
        <v>2287</v>
      </c>
      <c r="O656" s="133" t="s">
        <v>2288</v>
      </c>
      <c r="P656" s="133" t="s">
        <v>2289</v>
      </c>
      <c r="Q656" s="133" t="s">
        <v>2290</v>
      </c>
      <c r="R656" t="s">
        <v>4294</v>
      </c>
    </row>
    <row r="657" spans="2:18">
      <c r="B657" s="182" t="str">
        <f t="shared" si="30"/>
        <v>Polonaložená a vložená varianta neexistuje</v>
      </c>
      <c r="M657" s="133" t="s">
        <v>2370</v>
      </c>
      <c r="N657" s="133" t="s">
        <v>2370</v>
      </c>
      <c r="O657" s="133" t="s">
        <v>2371</v>
      </c>
      <c r="P657" s="133" t="s">
        <v>2372</v>
      </c>
      <c r="Q657" s="133" t="s">
        <v>2373</v>
      </c>
      <c r="R657" t="s">
        <v>4295</v>
      </c>
    </row>
    <row r="658" spans="2:18">
      <c r="B658" s="182" t="str">
        <f t="shared" si="30"/>
        <v>Brúsenie hrán</v>
      </c>
      <c r="M658" s="133" t="s">
        <v>1435</v>
      </c>
      <c r="N658" s="133" t="s">
        <v>2384</v>
      </c>
      <c r="O658" s="133" t="s">
        <v>2385</v>
      </c>
      <c r="P658" s="133" t="s">
        <v>2387</v>
      </c>
      <c r="Q658" s="133" t="s">
        <v>2386</v>
      </c>
      <c r="R658" t="s">
        <v>4296</v>
      </c>
    </row>
    <row r="659" spans="2:18">
      <c r="B659" s="182" t="str">
        <f t="shared" si="30"/>
        <v>StrongLift_horný</v>
      </c>
      <c r="M659" t="s">
        <v>2505</v>
      </c>
      <c r="N659" t="s">
        <v>2516</v>
      </c>
      <c r="O659" t="s">
        <v>2515</v>
      </c>
      <c r="P659" t="s">
        <v>2518</v>
      </c>
      <c r="Q659" t="s">
        <v>2519</v>
      </c>
      <c r="R659" t="s">
        <v>4176</v>
      </c>
    </row>
    <row r="660" spans="2:18">
      <c r="B660" s="182" t="str">
        <f t="shared" si="30"/>
        <v>StrongLift_spodný</v>
      </c>
      <c r="M660" t="s">
        <v>2506</v>
      </c>
      <c r="N660" t="s">
        <v>2517</v>
      </c>
      <c r="O660" t="s">
        <v>2520</v>
      </c>
      <c r="P660" t="s">
        <v>2521</v>
      </c>
      <c r="Q660" t="s">
        <v>2522</v>
      </c>
      <c r="R660" t="s">
        <v>4177</v>
      </c>
    </row>
    <row r="661" spans="2:18">
      <c r="B661" s="182" t="str">
        <f t="shared" si="30"/>
        <v>korpusový záves</v>
      </c>
      <c r="M661" s="133" t="s">
        <v>2523</v>
      </c>
      <c r="N661" s="133" t="s">
        <v>2524</v>
      </c>
      <c r="O661" s="133" t="s">
        <v>2525</v>
      </c>
      <c r="P661" s="133" t="s">
        <v>2535</v>
      </c>
      <c r="Q661" s="133" t="s">
        <v>2526</v>
      </c>
      <c r="R661" t="s">
        <v>4150</v>
      </c>
    </row>
    <row r="662" spans="2:18">
      <c r="B662" s="182" t="str">
        <f t="shared" si="30"/>
        <v>tlmený</v>
      </c>
      <c r="M662" t="s">
        <v>1063</v>
      </c>
      <c r="N662" t="s">
        <v>2527</v>
      </c>
      <c r="O662" s="133" t="s">
        <v>2528</v>
      </c>
      <c r="P662" s="133" t="s">
        <v>3541</v>
      </c>
      <c r="Q662" t="s">
        <v>2529</v>
      </c>
      <c r="R662" t="s">
        <v>4149</v>
      </c>
    </row>
    <row r="663" spans="2:18">
      <c r="B663" s="182" t="str">
        <f t="shared" si="30"/>
        <v>horný</v>
      </c>
      <c r="M663" s="175" t="s">
        <v>3012</v>
      </c>
      <c r="N663" s="175" t="s">
        <v>3013</v>
      </c>
      <c r="O663" s="133" t="s">
        <v>2530</v>
      </c>
      <c r="P663" t="s">
        <v>2532</v>
      </c>
      <c r="Q663" s="133" t="s">
        <v>2534</v>
      </c>
      <c r="R663" t="s">
        <v>4189</v>
      </c>
    </row>
    <row r="664" spans="2:18">
      <c r="B664" s="182" t="str">
        <f t="shared" si="30"/>
        <v>dolný</v>
      </c>
      <c r="M664" t="s">
        <v>425</v>
      </c>
      <c r="N664" t="s">
        <v>3014</v>
      </c>
      <c r="O664" t="s">
        <v>2531</v>
      </c>
      <c r="P664" t="s">
        <v>2533</v>
      </c>
      <c r="Q664" t="s">
        <v>1367</v>
      </c>
      <c r="R664" t="s">
        <v>4151</v>
      </c>
    </row>
    <row r="665" spans="2:18">
      <c r="B665" s="182" t="str">
        <f t="shared" si="30"/>
        <v>Úzky</v>
      </c>
      <c r="M665" s="175" t="s">
        <v>456</v>
      </c>
      <c r="N665" s="133" t="s">
        <v>2536</v>
      </c>
      <c r="O665" s="133" t="s">
        <v>251</v>
      </c>
      <c r="P665" s="133" t="s">
        <v>313</v>
      </c>
      <c r="Q665" s="133" t="s">
        <v>1356</v>
      </c>
      <c r="R665" t="s">
        <v>4152</v>
      </c>
    </row>
    <row r="666" spans="2:18">
      <c r="B666" s="182" t="str">
        <f t="shared" si="30"/>
        <v>Široký</v>
      </c>
      <c r="M666" s="175" t="s">
        <v>455</v>
      </c>
      <c r="N666" s="133" t="s">
        <v>455</v>
      </c>
      <c r="O666" s="133" t="s">
        <v>252</v>
      </c>
      <c r="P666" s="133" t="s">
        <v>314</v>
      </c>
      <c r="Q666" s="133" t="s">
        <v>1357</v>
      </c>
      <c r="R666" t="s">
        <v>4153</v>
      </c>
    </row>
    <row r="667" spans="2:18">
      <c r="R667"/>
    </row>
    <row r="668" spans="2:18">
      <c r="B668" s="182" t="str">
        <f t="shared" si="30"/>
        <v>Presiahli ste maximálny rozmer skla</v>
      </c>
      <c r="M668" s="133" t="s">
        <v>2559</v>
      </c>
      <c r="N668" s="133" t="s">
        <v>2560</v>
      </c>
      <c r="O668" s="133" t="s">
        <v>2561</v>
      </c>
      <c r="P668" s="133" t="s">
        <v>2563</v>
      </c>
      <c r="Q668" s="133" t="s">
        <v>2562</v>
      </c>
      <c r="R668" t="s">
        <v>4297</v>
      </c>
    </row>
    <row r="669" spans="2:18">
      <c r="B669" s="182" t="str">
        <f t="shared" si="30"/>
        <v>priehľadnosť 50%</v>
      </c>
      <c r="M669" s="133" t="s">
        <v>3037</v>
      </c>
      <c r="N669" s="133" t="s">
        <v>3039</v>
      </c>
      <c r="O669" s="133" t="s">
        <v>3041</v>
      </c>
      <c r="P669" s="133" t="s">
        <v>3043</v>
      </c>
      <c r="Q669" s="133" t="s">
        <v>3045</v>
      </c>
      <c r="R669" t="s">
        <v>4298</v>
      </c>
    </row>
    <row r="670" spans="2:18">
      <c r="B670" s="182" t="str">
        <f t="shared" si="30"/>
        <v>priehľadnosť 67%</v>
      </c>
      <c r="M670" s="133" t="s">
        <v>3038</v>
      </c>
      <c r="N670" s="133" t="s">
        <v>3040</v>
      </c>
      <c r="O670" s="133" t="s">
        <v>3042</v>
      </c>
      <c r="P670" s="133" t="s">
        <v>3044</v>
      </c>
      <c r="Q670" s="133" t="s">
        <v>3046</v>
      </c>
      <c r="R670" t="s">
        <v>4081</v>
      </c>
    </row>
    <row r="671" spans="2:18">
      <c r="B671" s="182" t="str">
        <f t="shared" si="30"/>
        <v>Pri prevzatí zásielky je kupujúci povinný tovar skontrolovať a prípadné zjavné prepravné poškodenie ihned zapísať s kuriérom do protokolu, inak môže byť takáto reklamácia zamietnutá.</v>
      </c>
      <c r="M671" s="133" t="s">
        <v>4431</v>
      </c>
      <c r="N671" s="133" t="s">
        <v>4432</v>
      </c>
      <c r="O671" s="133" t="s">
        <v>4434</v>
      </c>
      <c r="P671" s="133" t="s">
        <v>4433</v>
      </c>
      <c r="Q671" s="133" t="s">
        <v>4435</v>
      </c>
      <c r="R671" s="133" t="s">
        <v>4436</v>
      </c>
    </row>
    <row r="680" spans="2:18">
      <c r="B680" s="182" t="str">
        <f t="shared" ref="B680:B694" si="31">IF($D$1=1,M680,IF($D$1=2,N680,IF($D$1=3,O680,IF($D$1=4,P680,IF($D$1=5,Q680,IF($D$1=6,R680,0))))))</f>
        <v>Podmienky a odporúčania pre správne objednanie hliníkových rámčekov</v>
      </c>
      <c r="M680" s="1" t="s">
        <v>2600</v>
      </c>
      <c r="N680" t="s">
        <v>2601</v>
      </c>
      <c r="O680" t="s">
        <v>3560</v>
      </c>
      <c r="P680" t="s">
        <v>2602</v>
      </c>
      <c r="Q680" s="133" t="s">
        <v>2603</v>
      </c>
      <c r="R680" t="s">
        <v>4299</v>
      </c>
    </row>
    <row r="681" spans="2:18">
      <c r="B681" s="182" t="str">
        <f t="shared" si="31"/>
        <v>Všeobecné odporúčania:</v>
      </c>
      <c r="M681" s="1" t="s">
        <v>2604</v>
      </c>
      <c r="N681" t="s">
        <v>2605</v>
      </c>
      <c r="O681" t="s">
        <v>2644</v>
      </c>
      <c r="P681" t="s">
        <v>2606</v>
      </c>
      <c r="Q681" s="133" t="s">
        <v>2607</v>
      </c>
      <c r="R681" t="s">
        <v>4300</v>
      </c>
    </row>
    <row r="682" spans="2:18">
      <c r="B682" s="182" t="str">
        <f t="shared" si="31"/>
        <v>Pri vypĺňaní formulára postupujte vždy zhora nadol.</v>
      </c>
      <c r="M682" s="1" t="s">
        <v>2608</v>
      </c>
      <c r="N682" t="s">
        <v>2609</v>
      </c>
      <c r="O682" t="s">
        <v>3562</v>
      </c>
      <c r="P682" t="s">
        <v>2610</v>
      </c>
      <c r="Q682" s="133" t="s">
        <v>2611</v>
      </c>
      <c r="R682" t="s">
        <v>4301</v>
      </c>
    </row>
    <row r="683" spans="2:18">
      <c r="B683" s="182" t="str">
        <f t="shared" si="31"/>
        <v>Ak spätne vykonáte zmenu, musíte znovu zadať položky nižšie od tejto zmeny.</v>
      </c>
      <c r="M683" s="1" t="s">
        <v>2612</v>
      </c>
      <c r="N683" t="s">
        <v>2613</v>
      </c>
      <c r="O683" t="s">
        <v>3563</v>
      </c>
      <c r="P683" t="s">
        <v>2614</v>
      </c>
      <c r="Q683" s="133" t="s">
        <v>2615</v>
      </c>
      <c r="R683" t="s">
        <v>4302</v>
      </c>
    </row>
    <row r="684" spans="2:18">
      <c r="B684" s="182" t="str">
        <f t="shared" si="31"/>
        <v xml:space="preserve">Pred odoslaním objednávky skontrolujte, či formulár obsahuje len vami požadované rámčeky.     </v>
      </c>
      <c r="M684" s="1" t="s">
        <v>2616</v>
      </c>
      <c r="N684" t="s">
        <v>2617</v>
      </c>
      <c r="O684" t="s">
        <v>3564</v>
      </c>
      <c r="P684" t="s">
        <v>2618</v>
      </c>
      <c r="Q684" s="133" t="s">
        <v>2619</v>
      </c>
      <c r="R684" t="s">
        <v>4303</v>
      </c>
    </row>
    <row r="685" spans="2:18">
      <c r="B685" s="182" t="str">
        <f t="shared" si="31"/>
        <v>Štandardná dodacia lehota je maximálne tri týždne. Pre upresnenie termínu dodania kontaktujte náš Zákaznícky servis.</v>
      </c>
      <c r="M685" s="1" t="s">
        <v>2620</v>
      </c>
      <c r="N685" t="s">
        <v>2621</v>
      </c>
      <c r="O685" t="s">
        <v>3573</v>
      </c>
      <c r="P685" t="s">
        <v>2622</v>
      </c>
      <c r="Q685" s="133" t="s">
        <v>2623</v>
      </c>
      <c r="R685" t="s">
        <v>4304</v>
      </c>
    </row>
    <row r="686" spans="2:18">
      <c r="B686" s="182" t="str">
        <f t="shared" si="31"/>
        <v>Praktické informácie:</v>
      </c>
      <c r="M686" s="1" t="s">
        <v>2624</v>
      </c>
      <c r="N686" t="s">
        <v>2625</v>
      </c>
      <c r="O686" t="s">
        <v>2645</v>
      </c>
      <c r="P686" t="s">
        <v>2626</v>
      </c>
      <c r="Q686" s="133" t="s">
        <v>2627</v>
      </c>
      <c r="R686" t="s">
        <v>4305</v>
      </c>
    </row>
    <row r="687" spans="2:18">
      <c r="B687" s="182" t="str">
        <f t="shared" si="31"/>
        <v>Pri rozmeroch rámu vyšších ako 2500 mm odporúčame použiť deliace prvky, inak hrozí riziko ohnutia profilu alebo uvoľnenia skla z profilu.</v>
      </c>
      <c r="M687" s="1" t="s">
        <v>2628</v>
      </c>
      <c r="N687" t="s">
        <v>2629</v>
      </c>
      <c r="O687" t="s">
        <v>2646</v>
      </c>
      <c r="P687" t="s">
        <v>2630</v>
      </c>
      <c r="Q687" s="133" t="s">
        <v>2631</v>
      </c>
      <c r="R687" t="s">
        <v>4306</v>
      </c>
    </row>
    <row r="688" spans="2:18">
      <c r="B688" s="182" t="str">
        <f t="shared" si="31"/>
        <v>U nadrozmerných rámov (nad 1200 x 800 mm) sa môže účtovať príplatok za špeciálne balenie a prepravu (bližšie informácie vám poskytne Zákaznícky servis).</v>
      </c>
      <c r="M688" s="1" t="s">
        <v>2632</v>
      </c>
      <c r="N688" t="s">
        <v>2633</v>
      </c>
      <c r="O688" t="s">
        <v>2647</v>
      </c>
      <c r="P688" t="s">
        <v>2634</v>
      </c>
      <c r="Q688" s="133" t="s">
        <v>2635</v>
      </c>
      <c r="R688" t="s">
        <v>4307</v>
      </c>
    </row>
    <row r="689" spans="2:18">
      <c r="B689" s="182" t="str">
        <f t="shared" si="31"/>
        <v>Mriežka v ráme je štandardne orientovaná horizontálne. Ak majú byť otvory v sieti orientované vertikálne, uveďte to v poznámke.</v>
      </c>
      <c r="M689" s="1" t="s">
        <v>2636</v>
      </c>
      <c r="N689" t="s">
        <v>2637</v>
      </c>
      <c r="O689" t="s">
        <v>2648</v>
      </c>
      <c r="P689" t="s">
        <v>2638</v>
      </c>
      <c r="Q689" s="133" t="s">
        <v>2639</v>
      </c>
      <c r="R689" t="s">
        <v>4308</v>
      </c>
    </row>
    <row r="690" spans="2:18">
      <c r="B690" s="182" t="str">
        <f t="shared" si="31"/>
        <v>Potvrdzujem, že som porozumel a súhlasím s uvedenými podmienkami a odporúčaniami.</v>
      </c>
      <c r="M690" s="1" t="s">
        <v>2640</v>
      </c>
      <c r="N690" t="s">
        <v>2641</v>
      </c>
      <c r="O690" t="s">
        <v>2649</v>
      </c>
      <c r="P690" t="s">
        <v>2642</v>
      </c>
      <c r="Q690" s="133" t="s">
        <v>3726</v>
      </c>
      <c r="R690" t="s">
        <v>4309</v>
      </c>
    </row>
    <row r="691" spans="2:18" ht="23.45" customHeight="1">
      <c r="B691" s="182" t="str">
        <f t="shared" si="31"/>
        <v>Zvolený rozmer rámčeka nezodpovedá maximálnym rozmerom skla, alebo profilu</v>
      </c>
      <c r="M691" s="203" t="s">
        <v>3284</v>
      </c>
      <c r="N691" s="133" t="s">
        <v>3287</v>
      </c>
      <c r="O691" s="133" t="s">
        <v>3285</v>
      </c>
      <c r="P691" s="133" t="s">
        <v>3288</v>
      </c>
      <c r="Q691" s="203" t="s">
        <v>3286</v>
      </c>
      <c r="R691" s="332" t="s">
        <v>4310</v>
      </c>
    </row>
    <row r="692" spans="2:18">
      <c r="B692" s="182" t="str">
        <f t="shared" si="31"/>
        <v>Cena</v>
      </c>
      <c r="M692" s="175" t="s">
        <v>1196</v>
      </c>
      <c r="N692" s="133" t="s">
        <v>1196</v>
      </c>
      <c r="O692" s="133" t="s">
        <v>259</v>
      </c>
      <c r="P692" s="133" t="s">
        <v>3282</v>
      </c>
      <c r="Q692" s="133" t="s">
        <v>3283</v>
      </c>
      <c r="R692" t="s">
        <v>4311</v>
      </c>
    </row>
    <row r="693" spans="2:18">
      <c r="B693" s="182" t="str">
        <f t="shared" si="31"/>
        <v>Cena kovania</v>
      </c>
      <c r="M693" s="133" t="s">
        <v>3582</v>
      </c>
      <c r="N693" s="133" t="s">
        <v>3583</v>
      </c>
      <c r="O693" s="133" t="s">
        <v>212</v>
      </c>
      <c r="P693" s="133" t="s">
        <v>3584</v>
      </c>
      <c r="Q693" s="133" t="s">
        <v>1442</v>
      </c>
      <c r="R693" t="s">
        <v>4312</v>
      </c>
    </row>
    <row r="694" spans="2:18">
      <c r="B694" s="182" t="str">
        <f t="shared" si="31"/>
        <v>Farba profilu a sieťky sa môže líšiť z dôvodu tolerancie v procese výroby.</v>
      </c>
      <c r="M694" s="133" t="s">
        <v>3542</v>
      </c>
      <c r="N694" s="133" t="s">
        <v>3543</v>
      </c>
      <c r="O694" s="133" t="s">
        <v>3544</v>
      </c>
      <c r="P694" s="133" t="s">
        <v>3545</v>
      </c>
      <c r="Q694" s="133" t="s">
        <v>3546</v>
      </c>
      <c r="R694" s="325" t="s">
        <v>4211</v>
      </c>
    </row>
    <row r="695" spans="2:18">
      <c r="B695" s="133" t="str">
        <f>O695</f>
        <v>Koszt transportu musi zostać zweryfikowany</v>
      </c>
      <c r="O695" s="133" t="s">
        <v>3580</v>
      </c>
      <c r="R695"/>
    </row>
    <row r="698" spans="2:18">
      <c r="C698" s="133" t="s">
        <v>2375</v>
      </c>
    </row>
    <row r="699" spans="2:18">
      <c r="C699" s="133" t="s">
        <v>2297</v>
      </c>
      <c r="D699" s="133" t="s">
        <v>2651</v>
      </c>
    </row>
    <row r="700" spans="2:18">
      <c r="C700" s="133" t="s">
        <v>2298</v>
      </c>
      <c r="D700" s="133" t="s">
        <v>2652</v>
      </c>
    </row>
    <row r="701" spans="2:18">
      <c r="C701" s="133" t="s">
        <v>2299</v>
      </c>
      <c r="D701" s="133" t="s">
        <v>2654</v>
      </c>
    </row>
    <row r="702" spans="2:18">
      <c r="C702" s="133" t="s">
        <v>2300</v>
      </c>
      <c r="D702" s="133" t="s">
        <v>2653</v>
      </c>
    </row>
    <row r="703" spans="2:18">
      <c r="C703" s="133" t="s">
        <v>2301</v>
      </c>
      <c r="D703" s="133" t="s">
        <v>2651</v>
      </c>
    </row>
    <row r="704" spans="2:18">
      <c r="C704" s="133" t="s">
        <v>2302</v>
      </c>
      <c r="D704" s="133" t="s">
        <v>2652</v>
      </c>
    </row>
    <row r="705" spans="3:4">
      <c r="C705" s="133" t="s">
        <v>2303</v>
      </c>
      <c r="D705" s="133" t="s">
        <v>2654</v>
      </c>
    </row>
    <row r="706" spans="3:4">
      <c r="C706" s="133" t="s">
        <v>2304</v>
      </c>
      <c r="D706" s="133" t="s">
        <v>2653</v>
      </c>
    </row>
    <row r="707" spans="3:4">
      <c r="C707" s="133" t="s">
        <v>2305</v>
      </c>
      <c r="D707" s="133" t="s">
        <v>2651</v>
      </c>
    </row>
    <row r="708" spans="3:4">
      <c r="C708" s="133" t="s">
        <v>2306</v>
      </c>
      <c r="D708" s="133" t="s">
        <v>2652</v>
      </c>
    </row>
    <row r="709" spans="3:4">
      <c r="C709" s="133" t="s">
        <v>2307</v>
      </c>
      <c r="D709" s="133" t="s">
        <v>2654</v>
      </c>
    </row>
    <row r="710" spans="3:4">
      <c r="C710" s="133" t="s">
        <v>2308</v>
      </c>
      <c r="D710" s="133" t="s">
        <v>2653</v>
      </c>
    </row>
    <row r="711" spans="3:4">
      <c r="C711" s="133" t="s">
        <v>2309</v>
      </c>
      <c r="D711" s="133" t="s">
        <v>2651</v>
      </c>
    </row>
    <row r="712" spans="3:4">
      <c r="C712" s="133" t="s">
        <v>2310</v>
      </c>
      <c r="D712" s="133" t="s">
        <v>2652</v>
      </c>
    </row>
    <row r="713" spans="3:4">
      <c r="C713" s="133" t="s">
        <v>2311</v>
      </c>
      <c r="D713" s="133" t="s">
        <v>2654</v>
      </c>
    </row>
    <row r="714" spans="3:4">
      <c r="C714" s="133" t="s">
        <v>2312</v>
      </c>
      <c r="D714" s="133" t="s">
        <v>2653</v>
      </c>
    </row>
    <row r="715" spans="3:4">
      <c r="C715" s="133" t="s">
        <v>2313</v>
      </c>
      <c r="D715" s="133" t="s">
        <v>2651</v>
      </c>
    </row>
    <row r="716" spans="3:4">
      <c r="C716" s="133" t="s">
        <v>2314</v>
      </c>
      <c r="D716" s="133" t="s">
        <v>2652</v>
      </c>
    </row>
    <row r="717" spans="3:4">
      <c r="C717" s="133" t="s">
        <v>2315</v>
      </c>
      <c r="D717" s="133" t="s">
        <v>2654</v>
      </c>
    </row>
    <row r="718" spans="3:4">
      <c r="C718" s="133" t="s">
        <v>2316</v>
      </c>
      <c r="D718" s="133" t="s">
        <v>2653</v>
      </c>
    </row>
    <row r="719" spans="3:4">
      <c r="C719" s="133" t="s">
        <v>4072</v>
      </c>
      <c r="D719" s="133" t="s">
        <v>2651</v>
      </c>
    </row>
    <row r="720" spans="3:4">
      <c r="C720" s="133" t="s">
        <v>4073</v>
      </c>
      <c r="D720" s="133" t="s">
        <v>2652</v>
      </c>
    </row>
    <row r="721" spans="2:18">
      <c r="C721" s="133" t="s">
        <v>4074</v>
      </c>
      <c r="D721" s="133" t="s">
        <v>2654</v>
      </c>
    </row>
    <row r="722" spans="2:18">
      <c r="C722" s="133" t="s">
        <v>4075</v>
      </c>
      <c r="D722" s="133" t="s">
        <v>2653</v>
      </c>
    </row>
    <row r="723" spans="2:18">
      <c r="B723" s="182" t="str">
        <f t="shared" ref="B723" si="32">IF($D$1=1,M723,IF($D$1=2,N723,IF($D$1=3,O723,IF($D$1=4,P723,IF($D$1=5,Q723,IF($D$1=6,R723,0))))))</f>
        <v>Zľava</v>
      </c>
      <c r="C723" s="133" t="s">
        <v>2058</v>
      </c>
      <c r="D723" s="133" t="s">
        <v>2060</v>
      </c>
      <c r="M723" s="175" t="s">
        <v>3553</v>
      </c>
      <c r="N723" s="133" t="s">
        <v>3554</v>
      </c>
      <c r="O723" s="133" t="s">
        <v>3555</v>
      </c>
      <c r="P723" s="133" t="s">
        <v>3556</v>
      </c>
      <c r="Q723" s="133" t="s">
        <v>3557</v>
      </c>
      <c r="R723" s="133" t="s">
        <v>4082</v>
      </c>
    </row>
    <row r="724" spans="2:18">
      <c r="C724" s="133" t="s">
        <v>2063</v>
      </c>
      <c r="D724" s="133" t="s">
        <v>2065</v>
      </c>
    </row>
    <row r="725" spans="2:18">
      <c r="C725" s="133" t="s">
        <v>2068</v>
      </c>
      <c r="D725" s="133" t="s">
        <v>2070</v>
      </c>
    </row>
    <row r="726" spans="2:18">
      <c r="C726" s="133" t="s">
        <v>2073</v>
      </c>
      <c r="D726" s="133" t="s">
        <v>2075</v>
      </c>
    </row>
    <row r="727" spans="2:18">
      <c r="C727" s="133" t="s">
        <v>2059</v>
      </c>
      <c r="D727" s="133" t="s">
        <v>2060</v>
      </c>
    </row>
    <row r="728" spans="2:18">
      <c r="C728" s="133" t="s">
        <v>2064</v>
      </c>
      <c r="D728" s="133" t="s">
        <v>2065</v>
      </c>
    </row>
    <row r="729" spans="2:18">
      <c r="C729" s="133" t="s">
        <v>2069</v>
      </c>
      <c r="D729" s="133" t="s">
        <v>2070</v>
      </c>
    </row>
    <row r="730" spans="2:18">
      <c r="C730" s="133" t="s">
        <v>2074</v>
      </c>
      <c r="D730" s="133" t="s">
        <v>2075</v>
      </c>
    </row>
    <row r="731" spans="2:18">
      <c r="C731" s="133" t="s">
        <v>2060</v>
      </c>
      <c r="D731" s="133" t="s">
        <v>2060</v>
      </c>
    </row>
    <row r="732" spans="2:18">
      <c r="C732" s="133" t="s">
        <v>2065</v>
      </c>
      <c r="D732" s="133" t="s">
        <v>2065</v>
      </c>
    </row>
    <row r="733" spans="2:18">
      <c r="C733" s="133" t="s">
        <v>2070</v>
      </c>
      <c r="D733" s="133" t="s">
        <v>2070</v>
      </c>
    </row>
    <row r="734" spans="2:18">
      <c r="C734" s="133" t="s">
        <v>2075</v>
      </c>
      <c r="D734" s="133" t="s">
        <v>2075</v>
      </c>
    </row>
    <row r="735" spans="2:18">
      <c r="C735" s="133" t="s">
        <v>2061</v>
      </c>
      <c r="D735" s="133" t="s">
        <v>2060</v>
      </c>
    </row>
    <row r="736" spans="2:18">
      <c r="C736" s="133" t="s">
        <v>2066</v>
      </c>
      <c r="D736" s="133" t="s">
        <v>2065</v>
      </c>
    </row>
    <row r="737" spans="3:4">
      <c r="C737" s="133" t="s">
        <v>2071</v>
      </c>
      <c r="D737" s="133" t="s">
        <v>2070</v>
      </c>
    </row>
    <row r="738" spans="3:4">
      <c r="C738" s="133" t="s">
        <v>2076</v>
      </c>
      <c r="D738" s="133" t="s">
        <v>2075</v>
      </c>
    </row>
    <row r="739" spans="3:4">
      <c r="C739" s="133" t="s">
        <v>2062</v>
      </c>
      <c r="D739" s="133" t="s">
        <v>2060</v>
      </c>
    </row>
    <row r="740" spans="3:4">
      <c r="C740" s="133" t="s">
        <v>2067</v>
      </c>
      <c r="D740" s="133" t="s">
        <v>2065</v>
      </c>
    </row>
    <row r="741" spans="3:4">
      <c r="C741" s="133" t="s">
        <v>2072</v>
      </c>
      <c r="D741" s="133" t="s">
        <v>2070</v>
      </c>
    </row>
    <row r="742" spans="3:4">
      <c r="C742" s="133" t="s">
        <v>2077</v>
      </c>
      <c r="D742" s="133" t="s">
        <v>2075</v>
      </c>
    </row>
    <row r="743" spans="3:4">
      <c r="C743" s="325" t="s">
        <v>4076</v>
      </c>
      <c r="D743" s="133" t="s">
        <v>2060</v>
      </c>
    </row>
    <row r="744" spans="3:4">
      <c r="C744" s="325" t="s">
        <v>4077</v>
      </c>
      <c r="D744" s="133" t="s">
        <v>2065</v>
      </c>
    </row>
    <row r="745" spans="3:4">
      <c r="C745" s="325" t="s">
        <v>4078</v>
      </c>
      <c r="D745" s="133" t="s">
        <v>2070</v>
      </c>
    </row>
    <row r="746" spans="3:4">
      <c r="C746" s="325" t="s">
        <v>4079</v>
      </c>
      <c r="D746" s="133" t="s">
        <v>2075</v>
      </c>
    </row>
  </sheetData>
  <mergeCells count="16">
    <mergeCell ref="A6:A63"/>
    <mergeCell ref="A99:A163"/>
    <mergeCell ref="A77:A82"/>
    <mergeCell ref="I168:J168"/>
    <mergeCell ref="K168:L168"/>
    <mergeCell ref="G168:H168"/>
    <mergeCell ref="K98:L98"/>
    <mergeCell ref="C98:D98"/>
    <mergeCell ref="E98:F98"/>
    <mergeCell ref="G98:H98"/>
    <mergeCell ref="I98:J98"/>
    <mergeCell ref="C4:D4"/>
    <mergeCell ref="E4:F4"/>
    <mergeCell ref="G4:H4"/>
    <mergeCell ref="I4:J4"/>
    <mergeCell ref="K4:L4"/>
  </mergeCells>
  <conditionalFormatting sqref="C723:C726">
    <cfRule type="expression" dxfId="491" priority="1" stopIfTrue="1">
      <formula>AND(COUNTIF($M$582:$M$587, C723)+COUNTIF($M$593:$M$624, C723)+COUNTIF($M$627:$M$627, C723)+COUNTIF($M$642:$M$644, C723)&gt;1,NOT(ISBLANK(C723)))</formula>
    </cfRule>
  </conditionalFormatting>
  <conditionalFormatting sqref="C699:D718">
    <cfRule type="expression" dxfId="490" priority="3" stopIfTrue="1">
      <formula>AND(COUNTIF($M$582:$M$587, C699)+COUNTIF($M$593:$M$624, C699)+COUNTIF($M$627:$M$627, C699)+COUNTIF($M$642:$M$644, C699)&gt;1,NOT(ISBLANK(C699)))</formula>
    </cfRule>
  </conditionalFormatting>
  <conditionalFormatting sqref="D719:D722">
    <cfRule type="expression" dxfId="489" priority="2" stopIfTrue="1">
      <formula>AND(COUNTIF($M$582:$M$587, D719)+COUNTIF($M$593:$M$624, D719)+COUNTIF($M$627:$M$627, D719)+COUNTIF($M$642:$M$644, D719)&gt;1,NOT(ISBLANK(D719)))</formula>
    </cfRule>
  </conditionalFormatting>
  <conditionalFormatting sqref="M582:M587 M593:M624 M627 M642:M643">
    <cfRule type="expression" dxfId="488" priority="9" stopIfTrue="1">
      <formula>AND(COUNTIF($M$582:$M$587, M582)+COUNTIF($M$593:$M$624, M582)+COUNTIF($M$627:$M$627, M582)+COUNTIF($M$642:$M$644, M582)&gt;1,NOT(ISBLANK(M582)))</formula>
    </cfRule>
  </conditionalFormatting>
  <conditionalFormatting sqref="N616:Q619">
    <cfRule type="expression" dxfId="487" priority="5" stopIfTrue="1">
      <formula>AND(COUNTIF($M$582:$M$587, N616)+COUNTIF($M$593:$M$624, N616)+COUNTIF($M$627:$M$627, N616)+COUNTIF($M$642:$M$644, N616)&gt;1,NOT(ISBLANK(N616)))</formula>
    </cfRule>
  </conditionalFormatting>
  <hyperlinks>
    <hyperlink ref="N315" r:id="rId1" xr:uid="{92C178D6-04AB-467D-B460-13F1EA7BE0F7}"/>
    <hyperlink ref="M315" r:id="rId2" xr:uid="{520B93AC-0648-47B4-8EF3-DC5C381451BF}"/>
    <hyperlink ref="R315"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498" t="str">
        <f>'Translate&amp;Prices&amp;Logo'!$B$540</f>
        <v>Úvod</v>
      </c>
      <c r="R2" s="499"/>
      <c r="S2" s="499"/>
      <c r="T2" s="499"/>
      <c r="W2" s="6" t="b">
        <v>0</v>
      </c>
    </row>
    <row r="3" spans="1:23" ht="15" customHeight="1">
      <c r="A3" s="39"/>
      <c r="B3" s="39"/>
      <c r="C3" s="39"/>
      <c r="D3" s="39"/>
      <c r="E3" s="39"/>
      <c r="F3" s="39"/>
      <c r="G3" s="39"/>
      <c r="H3" s="39"/>
      <c r="I3" s="39"/>
      <c r="J3" s="39"/>
      <c r="K3" s="39"/>
      <c r="L3" s="39"/>
      <c r="M3" s="39"/>
      <c r="N3" s="39"/>
      <c r="O3" s="39"/>
      <c r="P3" s="15"/>
      <c r="Q3" s="498"/>
      <c r="R3" s="499"/>
      <c r="S3" s="499"/>
      <c r="T3" s="499"/>
    </row>
    <row r="4" spans="1:23"/>
    <row r="5" spans="1:23" ht="21">
      <c r="B5" s="245" t="str">
        <f>'Translate&amp;Prices&amp;Logo'!B680</f>
        <v>Podmienky a odporúčania pre správne objednanie hliníkových rámčekov</v>
      </c>
    </row>
    <row r="6" spans="1:23" ht="11.1" customHeight="1">
      <c r="B6" s="237"/>
    </row>
    <row r="7" spans="1:23" ht="18" customHeight="1">
      <c r="B7" s="244" t="str">
        <f>'Translate&amp;Prices&amp;Logo'!B681</f>
        <v>Všeobecné odporúčania:</v>
      </c>
    </row>
    <row r="8" spans="1:23" ht="15" customHeight="1">
      <c r="B8" s="1" t="str">
        <f>'Translate&amp;Prices&amp;Logo'!$B$302</f>
        <v>Vždy používajte aktuálnu verziu formuláru, ktorý je dostupný na našich stránkach.</v>
      </c>
    </row>
    <row r="9" spans="1:23" ht="15" customHeight="1">
      <c r="B9" s="12" t="str">
        <f>'Translate&amp;Prices&amp;Logo'!B682</f>
        <v>Pri vypĺňaní formulára postupujte vždy zhora nadol.</v>
      </c>
    </row>
    <row r="10" spans="1:23">
      <c r="B10" s="12" t="str">
        <f>'Translate&amp;Prices&amp;Logo'!B683</f>
        <v>Ak spätne vykonáte zmenu, musíte znovu zadať položky nižšie od tejto zmeny.</v>
      </c>
      <c r="C10" s="236"/>
      <c r="D10" s="236"/>
      <c r="E10" s="236"/>
      <c r="F10" s="236"/>
      <c r="G10" s="236"/>
      <c r="H10" s="236"/>
      <c r="I10" s="236"/>
      <c r="J10" s="236"/>
      <c r="K10" s="236"/>
      <c r="L10" s="236"/>
      <c r="M10" s="236"/>
      <c r="N10" s="236"/>
      <c r="O10" s="236"/>
      <c r="P10" s="236"/>
    </row>
    <row r="11" spans="1:23">
      <c r="B11" s="12" t="str">
        <f>'Translate&amp;Prices&amp;Logo'!B684</f>
        <v xml:space="preserve">Pred odoslaním objednávky skontrolujte, či formulár obsahuje len vami požadované rámčeky.     </v>
      </c>
    </row>
    <row r="12" spans="1:23" ht="15" customHeight="1">
      <c r="B12" s="236" t="str">
        <f>'Translate&amp;Prices&amp;Logo'!$B$314&amp;" "&amp;'Translate&amp;Prices&amp;Logo'!$B$315</f>
        <v>Vyplnenú objednávku zašlite na adresu  objednavkySK@demos-trade.com</v>
      </c>
      <c r="C12" s="236"/>
      <c r="D12" s="236"/>
      <c r="E12" s="236"/>
      <c r="F12" s="236"/>
      <c r="G12" s="236"/>
      <c r="H12" s="236"/>
      <c r="I12" s="236"/>
      <c r="J12" s="236"/>
      <c r="K12" s="236"/>
      <c r="L12" s="236"/>
      <c r="M12" s="236"/>
    </row>
    <row r="13" spans="1:23" ht="30" customHeight="1">
      <c r="B13" s="576" t="str">
        <f>'Translate&amp;Prices&amp;Logo'!B685</f>
        <v>Štandardná dodacia lehota je maximálne tri týždne. Pre upresnenie termínu dodania kontaktujte náš Zákaznícky servis.</v>
      </c>
      <c r="C13" s="576"/>
      <c r="D13" s="576"/>
      <c r="E13" s="576"/>
      <c r="F13" s="576"/>
      <c r="G13" s="576"/>
      <c r="H13" s="576"/>
      <c r="I13" s="576"/>
      <c r="J13" s="576"/>
      <c r="K13" s="576"/>
      <c r="L13" s="576"/>
      <c r="M13" s="576"/>
      <c r="N13" s="576"/>
      <c r="O13" s="576"/>
      <c r="P13" s="576"/>
      <c r="Q13" s="576"/>
      <c r="R13" s="576"/>
      <c r="S13" s="576"/>
    </row>
    <row r="14" spans="1:23" ht="45.75" customHeight="1">
      <c r="B14" s="573" t="str">
        <f>'Translate&amp;Prices&amp;Logo'!B671</f>
        <v>Pri prevzatí zásielky je kupujúci povinný tovar skontrolovať a prípadné zjavné prepravné poškodenie ihned zapísať s kuriérom do protokolu, inak môže byť takáto reklamácia zamietnutá.</v>
      </c>
      <c r="C14" s="573"/>
      <c r="D14" s="573"/>
      <c r="E14" s="573"/>
      <c r="F14" s="573"/>
      <c r="G14" s="573"/>
      <c r="H14" s="573"/>
      <c r="I14" s="573"/>
      <c r="J14" s="573"/>
      <c r="K14" s="573"/>
      <c r="L14" s="573"/>
      <c r="M14" s="573"/>
      <c r="N14" s="573"/>
      <c r="O14" s="573"/>
      <c r="P14" s="573"/>
      <c r="Q14" s="573"/>
      <c r="R14" s="573"/>
      <c r="S14" s="573"/>
    </row>
    <row r="15" spans="1:23" ht="32.25" customHeight="1">
      <c r="B15" s="1" t="str">
        <f>'Translate&amp;Prices&amp;Logo'!$B$171</f>
        <v>Uvedené ceny sú bez DPH a nezahrňujú cenu požadovaného kovania!</v>
      </c>
    </row>
    <row r="16" spans="1:23" ht="46.5" customHeight="1">
      <c r="B16" s="579" t="str">
        <f>IF(Zakaznik!K23="Dostawa na adres","W przypadku wyboru DOSTAWA NA ADRES do zamówienia zostanie automatycznie doliczona opłata transportowa. Cena zależna od rozmiaru ramki. Aby zobaczyć ostateczną cenę, kliknij na Podsumowanie. ","")</f>
        <v/>
      </c>
      <c r="C16" s="579"/>
      <c r="D16" s="579"/>
      <c r="E16" s="579"/>
      <c r="F16" s="579"/>
      <c r="G16" s="579"/>
      <c r="H16" s="579"/>
      <c r="I16" s="579"/>
      <c r="J16" s="579"/>
      <c r="K16" s="579"/>
      <c r="L16" s="323"/>
      <c r="M16" s="580" t="str">
        <f>IF(Zakaznik!K23="Dostawa na adres","W przypadku wyboru DOSTAWA NA ADRES w jednym zamówieniu nie można łączyć ramki ze szkłem i bez szkła. ","")</f>
        <v/>
      </c>
      <c r="N16" s="580"/>
      <c r="O16" s="580"/>
      <c r="P16" s="580"/>
      <c r="Q16" s="580"/>
      <c r="R16" s="580"/>
      <c r="S16" s="323"/>
      <c r="T16" s="323"/>
    </row>
    <row r="17" spans="2:20" ht="21.75" customHeight="1">
      <c r="B17" s="577" t="str">
        <f>'Translate&amp;Prices&amp;Logo'!B572</f>
        <v>Upozornenie:</v>
      </c>
      <c r="C17" s="578"/>
      <c r="D17" s="578"/>
    </row>
    <row r="18" spans="2:20" ht="15" customHeight="1">
      <c r="B18" s="1" t="str">
        <f>'Translate&amp;Prices&amp;Logo'!$B$301</f>
        <v xml:space="preserve">Pre pripevnenie kovania do ALU rámčeka, je nutné používať skrutky pre toto určené (napr. kód 13681). </v>
      </c>
    </row>
    <row r="19" spans="2:20" ht="15" customHeight="1">
      <c r="B19" s="1" t="str">
        <f>'Translate&amp;Prices&amp;Logo'!$B$331</f>
        <v>Ak je úchytka pripevnená cez sklo, je nutné vždy použiť distančnú podložku (napr. 144516, 191970, C0315).</v>
      </c>
    </row>
    <row r="20" spans="2:20"/>
    <row r="21" spans="2:20">
      <c r="B21" s="1" t="str">
        <f>'Translate&amp;Prices&amp;Logo'!$B$311</f>
        <v>Maximálny doporučený rozmer rámčeka je 2500 x 1250 mm (v prípade rámčekov s nalepeným sklom, napr. Corleone 1500 x 600 mm)</v>
      </c>
    </row>
    <row r="22" spans="2:20" ht="30" customHeight="1">
      <c r="B22" s="573" t="str">
        <f>'Translate&amp;Prices&amp;Logo'!B687</f>
        <v>Pri rozmeroch rámu vyšších ako 2500 mm odporúčame použiť deliace prvky, inak hrozí riziko ohnutia profilu alebo uvoľnenia skla z profilu.</v>
      </c>
      <c r="C22" s="573"/>
      <c r="D22" s="573"/>
      <c r="E22" s="573"/>
      <c r="F22" s="573"/>
      <c r="G22" s="573"/>
      <c r="H22" s="573"/>
      <c r="I22" s="573"/>
      <c r="J22" s="573"/>
      <c r="K22" s="573"/>
      <c r="L22" s="573"/>
      <c r="M22" s="573"/>
      <c r="N22" s="573"/>
      <c r="O22" s="573"/>
      <c r="P22" s="573"/>
      <c r="Q22" s="573"/>
      <c r="R22" s="573"/>
      <c r="S22" s="573"/>
      <c r="T22" s="241"/>
    </row>
    <row r="23" spans="2:20" ht="30" customHeight="1">
      <c r="B23" s="573" t="str">
        <f>'Translate&amp;Prices&amp;Logo'!$B$327</f>
        <v>K nadrozmerným rámčekom (nad rozmer 1200 x 800 mm), môže byť účtovaný príplatok za špeciálne balenie a dopravu (viac informácií na zákazníckom centre).</v>
      </c>
      <c r="C23" s="573"/>
      <c r="D23" s="573"/>
      <c r="E23" s="573"/>
      <c r="F23" s="573"/>
      <c r="G23" s="573"/>
      <c r="H23" s="573"/>
      <c r="I23" s="573"/>
      <c r="J23" s="573"/>
      <c r="K23" s="573"/>
      <c r="L23" s="573"/>
      <c r="M23" s="573"/>
      <c r="N23" s="573"/>
      <c r="O23" s="573"/>
      <c r="P23" s="573"/>
      <c r="Q23" s="573"/>
      <c r="R23" s="573"/>
      <c r="S23" s="573"/>
    </row>
    <row r="24" spans="2:20">
      <c r="B24" s="1" t="str">
        <f>'Translate&amp;Prices&amp;Logo'!$B$300</f>
        <v>Reklamácie spojené s poškodením nie je možné uplatniť, pokiaľ bol rámček už namontovaný.</v>
      </c>
    </row>
    <row r="25" spans="2:20">
      <c r="B25" s="1" t="str">
        <f>'Translate&amp;Prices&amp;Logo'!$B$689</f>
        <v>Mriežka v ráme je štandardne orientovaná horizontálne. Ak majú byť otvory v sieti orientované vertikálne, uveďte to v poznámke.</v>
      </c>
    </row>
    <row r="26" spans="2:20">
      <c r="B26" s="242" t="str">
        <f>'Translate&amp;Prices&amp;Logo'!B694</f>
        <v>Farba profilu a sieťky sa môže líšiť z dôvodu tolerancie v procese výroby.</v>
      </c>
    </row>
    <row r="27" spans="2:20" ht="30" customHeight="1" thickBot="1">
      <c r="B27" s="244" t="str">
        <f>'Translate&amp;Prices&amp;Logo'!$B$690</f>
        <v>Potvrdzujem, že som porozumel a súhlasím s uvedenými podmienkami a odporúčaniami.</v>
      </c>
    </row>
    <row r="28" spans="2:20">
      <c r="B28" s="243"/>
      <c r="M28" s="574"/>
    </row>
    <row r="29" spans="2:20" ht="15.75" thickBot="1">
      <c r="B29" s="243"/>
      <c r="M29" s="575"/>
    </row>
    <row r="30" spans="2:20" ht="6.75" customHeight="1"/>
    <row r="31" spans="2:20" ht="15" customHeight="1">
      <c r="B31" s="498" t="str">
        <f>"&lt;"&amp;" "&amp;'Translate&amp;Prices&amp;Logo'!$B$574</f>
        <v>&lt; Späť</v>
      </c>
      <c r="C31" s="499"/>
      <c r="R31" s="498" t="str">
        <f>IF(W2=TRUE,(CONCATENATE('Translate&amp;Prices&amp;Logo'!$B$566," &gt;"))," ")</f>
        <v xml:space="preserve"> </v>
      </c>
      <c r="S31" s="499"/>
    </row>
    <row r="32" spans="2:20" ht="15" customHeight="1">
      <c r="B32" s="498"/>
      <c r="C32" s="499"/>
      <c r="R32" s="498"/>
      <c r="S32" s="499"/>
    </row>
    <row r="33"/>
    <row r="34"/>
  </sheetData>
  <sheetProtection algorithmName="SHA-512" hashValue="Cj3MbU7IdA39Bvf1f6BJ1T+eKUb/wNbgodMUssQ7qVQ0Y3M7AHyOMqCaEyN/NAVvYDKImS/U7adkGpf5YdSjQg==" saltValue="ssDgSAsqD028jDB3j+kuXA=="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5"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124" workbookViewId="0">
      <selection activeCell="A96" sqref="A96:A138"/>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'Translate&amp;Prices&amp;Logo'!B227</f>
        <v>Navrchu</v>
      </c>
      <c r="AP2" t="str">
        <f>'Translate&amp;Prices&amp;Logo'!B229</f>
        <v>Vpravo</v>
      </c>
      <c r="BQ2" t="str">
        <f>'Translate&amp;Prices&amp;Logo'!$B$551</f>
        <v>Závesy</v>
      </c>
      <c r="BR2" t="str">
        <f>'Translate&amp;Prices&amp;Logo'!$B$552</f>
        <v>Výklopy</v>
      </c>
      <c r="BW2" t="str">
        <f>'Translate&amp;Prices&amp;Logo'!$B$230</f>
        <v>Vľavo</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'Translate&amp;Prices&amp;Logo'!B228</f>
        <v>Dole</v>
      </c>
      <c r="AP3" t="str">
        <f>'Translate&amp;Prices&amp;Logo'!B230</f>
        <v>Vľavo</v>
      </c>
      <c r="BQ3" t="s">
        <v>984</v>
      </c>
      <c r="BR3" t="s">
        <v>954</v>
      </c>
      <c r="BW3" t="str">
        <f>'Translate&amp;Prices&amp;Logo'!$B$229</f>
        <v>Vpravo</v>
      </c>
      <c r="CG3" t="s">
        <v>2374</v>
      </c>
      <c r="CH3" t="s">
        <v>2374</v>
      </c>
      <c r="CI3" t="s">
        <v>2154</v>
      </c>
      <c r="CJ3" t="s">
        <v>2154</v>
      </c>
      <c r="CK3" t="s">
        <v>964</v>
      </c>
      <c r="CL3" t="s">
        <v>964</v>
      </c>
      <c r="CM3" t="s">
        <v>967</v>
      </c>
      <c r="CN3" t="s">
        <v>967</v>
      </c>
      <c r="CO3" t="s">
        <v>974</v>
      </c>
      <c r="CP3" t="s">
        <v>974</v>
      </c>
      <c r="CQ3" t="s">
        <v>1109</v>
      </c>
      <c r="CR3" t="s">
        <v>1109</v>
      </c>
      <c r="CS3" t="s">
        <v>969</v>
      </c>
      <c r="CT3" t="s">
        <v>969</v>
      </c>
      <c r="CU3" t="s">
        <v>975</v>
      </c>
      <c r="CV3" t="s">
        <v>975</v>
      </c>
      <c r="CW3" t="s">
        <v>2537</v>
      </c>
      <c r="CX3" t="s">
        <v>2537</v>
      </c>
      <c r="CY3" t="s">
        <v>978</v>
      </c>
      <c r="CZ3" t="s">
        <v>978</v>
      </c>
      <c r="DA3" t="s">
        <v>2551</v>
      </c>
      <c r="DB3" t="s">
        <v>2551</v>
      </c>
      <c r="DC3" t="s">
        <v>980</v>
      </c>
      <c r="DD3" t="s">
        <v>980</v>
      </c>
      <c r="DE3" t="s">
        <v>981</v>
      </c>
      <c r="DF3" t="s">
        <v>981</v>
      </c>
      <c r="DG3" t="s">
        <v>2507</v>
      </c>
      <c r="DH3" t="s">
        <v>2507</v>
      </c>
      <c r="DI3" t="s">
        <v>2508</v>
      </c>
      <c r="DJ3" t="s">
        <v>2508</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'Translate&amp;Prices&amp;Logo'!B229</f>
        <v>Vpravo</v>
      </c>
      <c r="BQ4" t="s">
        <v>954</v>
      </c>
      <c r="BR4" t="s">
        <v>976</v>
      </c>
      <c r="BW4" t="str">
        <f>'Translate&amp;Prices&amp;Logo'!$B$227</f>
        <v>Navrchu</v>
      </c>
      <c r="CG4" t="s">
        <v>3691</v>
      </c>
      <c r="CH4" t="s">
        <v>3692</v>
      </c>
      <c r="CI4" t="s">
        <v>3693</v>
      </c>
      <c r="CJ4" t="s">
        <v>3694</v>
      </c>
      <c r="CK4" t="s">
        <v>3695</v>
      </c>
      <c r="CL4" t="s">
        <v>3696</v>
      </c>
      <c r="CM4" t="s">
        <v>3697</v>
      </c>
      <c r="CN4" t="s">
        <v>3698</v>
      </c>
      <c r="CO4" t="s">
        <v>3699</v>
      </c>
      <c r="CP4" t="s">
        <v>3700</v>
      </c>
      <c r="CQ4" t="s">
        <v>3701</v>
      </c>
      <c r="CR4" t="s">
        <v>3702</v>
      </c>
      <c r="CS4" t="s">
        <v>3703</v>
      </c>
      <c r="CT4" t="s">
        <v>3704</v>
      </c>
      <c r="CU4" t="s">
        <v>3705</v>
      </c>
      <c r="CV4" t="s">
        <v>3706</v>
      </c>
      <c r="CW4" t="s">
        <v>3707</v>
      </c>
      <c r="CX4" t="s">
        <v>3708</v>
      </c>
      <c r="CY4" t="s">
        <v>3709</v>
      </c>
      <c r="CZ4" t="s">
        <v>3710</v>
      </c>
      <c r="DA4" t="s">
        <v>3711</v>
      </c>
      <c r="DB4" t="s">
        <v>3712</v>
      </c>
      <c r="DC4" t="s">
        <v>3713</v>
      </c>
      <c r="DD4" t="s">
        <v>3714</v>
      </c>
      <c r="DE4" t="s">
        <v>3715</v>
      </c>
      <c r="DF4" t="s">
        <v>3716</v>
      </c>
      <c r="DG4" t="s">
        <v>3717</v>
      </c>
      <c r="DH4" t="s">
        <v>3718</v>
      </c>
      <c r="DI4" t="s">
        <v>3719</v>
      </c>
      <c r="DJ4" t="s">
        <v>3720</v>
      </c>
      <c r="DK4" t="s">
        <v>3721</v>
      </c>
      <c r="DL4" t="s">
        <v>3722</v>
      </c>
      <c r="DM4" t="s">
        <v>3079</v>
      </c>
      <c r="DN4" t="s">
        <v>3076</v>
      </c>
      <c r="DO4" t="s">
        <v>3077</v>
      </c>
      <c r="DP4" t="s">
        <v>3078</v>
      </c>
      <c r="DQ4" t="s">
        <v>3074</v>
      </c>
      <c r="DR4" t="s">
        <v>3075</v>
      </c>
      <c r="DS4" t="s">
        <v>3072</v>
      </c>
      <c r="DT4" t="s">
        <v>3073</v>
      </c>
      <c r="DU4" t="s">
        <v>3085</v>
      </c>
      <c r="DV4" t="s">
        <v>3086</v>
      </c>
      <c r="DW4" t="s">
        <v>3087</v>
      </c>
      <c r="DX4" t="s">
        <v>3088</v>
      </c>
      <c r="DY4" t="s">
        <v>3090</v>
      </c>
      <c r="DZ4" t="s">
        <v>3091</v>
      </c>
      <c r="EA4" t="s">
        <v>3092</v>
      </c>
      <c r="EB4" t="s">
        <v>3093</v>
      </c>
      <c r="EC4" t="s">
        <v>4154</v>
      </c>
      <c r="ED4" t="s">
        <v>4155</v>
      </c>
      <c r="EE4" t="s">
        <v>4160</v>
      </c>
      <c r="EF4" t="s">
        <v>4161</v>
      </c>
      <c r="EG4" t="s">
        <v>4158</v>
      </c>
      <c r="EH4" t="s">
        <v>4159</v>
      </c>
      <c r="EI4" t="s">
        <v>4157</v>
      </c>
      <c r="EJ4" t="s">
        <v>4156</v>
      </c>
      <c r="EK4" t="s">
        <v>4179</v>
      </c>
      <c r="EL4" t="s">
        <v>4180</v>
      </c>
      <c r="EM4" t="s">
        <v>4181</v>
      </c>
      <c r="EN4" t="s">
        <v>4182</v>
      </c>
      <c r="EO4" t="s">
        <v>4183</v>
      </c>
      <c r="EP4" t="s">
        <v>4184</v>
      </c>
      <c r="EQ4" t="s">
        <v>4185</v>
      </c>
      <c r="ER4" t="s">
        <v>4186</v>
      </c>
      <c r="ES4" t="s">
        <v>4194</v>
      </c>
      <c r="ET4" t="s">
        <v>4195</v>
      </c>
      <c r="EU4" t="s">
        <v>4196</v>
      </c>
      <c r="EV4" t="s">
        <v>4197</v>
      </c>
      <c r="EW4" t="s">
        <v>4198</v>
      </c>
      <c r="EX4" t="s">
        <v>4199</v>
      </c>
      <c r="EY4" t="s">
        <v>4200</v>
      </c>
      <c r="EZ4" t="s">
        <v>4201</v>
      </c>
    </row>
    <row r="5" spans="1:156">
      <c r="A5" s="27" t="s">
        <v>105</v>
      </c>
      <c r="B5" t="s">
        <v>2154</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'Translate&amp;Prices&amp;Logo'!B230</f>
        <v>Vľavo</v>
      </c>
      <c r="BQ5" t="s">
        <v>2440</v>
      </c>
      <c r="BR5" t="s">
        <v>2503</v>
      </c>
      <c r="BW5" t="str">
        <f>'Translate&amp;Prices&amp;Logo'!$B$228</f>
        <v>Dole</v>
      </c>
      <c r="CG5" t="s">
        <v>2573</v>
      </c>
      <c r="CH5" t="s">
        <v>2574</v>
      </c>
      <c r="CI5" t="str">
        <f>CONCATENATE("blum ",'Translate&amp;Prices&amp;Logo'!B662," 118033")</f>
        <v>blum tlmený 118033</v>
      </c>
      <c r="CJ5" t="str">
        <f>CONCATENATE("blum ",'Translate&amp;Prices&amp;Logo'!B662," 12047")</f>
        <v>blum tlmený 12047</v>
      </c>
      <c r="CK5" t="s">
        <v>2512</v>
      </c>
      <c r="CL5" t="s">
        <v>2513</v>
      </c>
      <c r="CM5" t="s">
        <v>2512</v>
      </c>
      <c r="CN5" t="s">
        <v>2513</v>
      </c>
      <c r="CO5" t="s">
        <v>2512</v>
      </c>
      <c r="CP5" t="s">
        <v>2513</v>
      </c>
      <c r="CQ5" t="str">
        <f>CONCATENATE("hettich ",'Translate&amp;Prices&amp;Logo'!B664," 300282")</f>
        <v>hettich dolný 300282</v>
      </c>
      <c r="CR5" t="str">
        <f>CONCATENATE("hettich ",'Translate&amp;Prices&amp;Logo'!B664," 232346")</f>
        <v>hettich dolný 232346</v>
      </c>
      <c r="CS5" t="str">
        <f>CONCATENATE("hettich ",'Translate&amp;Prices&amp;Logo'!B664," 300282")</f>
        <v>hettich dolný 300282</v>
      </c>
      <c r="CT5" t="str">
        <f>CONCATENATE("hettich ",'Translate&amp;Prices&amp;Logo'!B664," 232346")</f>
        <v>hettich dolný 232346</v>
      </c>
      <c r="CU5" t="s">
        <v>2512</v>
      </c>
      <c r="CV5" t="s">
        <v>2513</v>
      </c>
      <c r="CW5" t="s">
        <v>1076</v>
      </c>
      <c r="CX5" t="s">
        <v>1090</v>
      </c>
      <c r="CY5" t="s">
        <v>2512</v>
      </c>
      <c r="CZ5" t="s">
        <v>2513</v>
      </c>
      <c r="DA5" t="s">
        <v>1076</v>
      </c>
      <c r="DB5" t="s">
        <v>1090</v>
      </c>
      <c r="DC5" t="str">
        <f>CONCATENATE("hettich ",'Translate&amp;Prices&amp;Logo'!B664," 300282")</f>
        <v>hettich dolný 300282</v>
      </c>
      <c r="DD5" t="s">
        <v>1090</v>
      </c>
      <c r="DE5" t="str">
        <f>CONCATENATE("hettich ",'Translate&amp;Prices&amp;Logo'!B664," 300282")</f>
        <v>hettich dolný 300282</v>
      </c>
      <c r="DF5" t="s">
        <v>1090</v>
      </c>
      <c r="DG5" t="s">
        <v>2512</v>
      </c>
      <c r="DH5" t="s">
        <v>2513</v>
      </c>
      <c r="DI5" t="s">
        <v>2512</v>
      </c>
      <c r="DJ5" t="s">
        <v>2513</v>
      </c>
      <c r="DK5" t="str">
        <f>CONCATENATE("hettich ",'Translate&amp;Prices&amp;Logo'!B664," 300282")</f>
        <v>hettich dolný 300282</v>
      </c>
      <c r="DL5" t="s">
        <v>1090</v>
      </c>
      <c r="DM5" t="s">
        <v>2513</v>
      </c>
      <c r="DN5" t="s">
        <v>2512</v>
      </c>
      <c r="DO5" t="s">
        <v>2513</v>
      </c>
      <c r="DP5" t="s">
        <v>2512</v>
      </c>
      <c r="DQ5" t="s">
        <v>2539</v>
      </c>
      <c r="DR5" t="s">
        <v>1090</v>
      </c>
      <c r="DS5" t="s">
        <v>2539</v>
      </c>
      <c r="DT5" t="s">
        <v>1090</v>
      </c>
      <c r="DU5" t="s">
        <v>3089</v>
      </c>
      <c r="DV5" t="s">
        <v>1090</v>
      </c>
      <c r="DW5" t="s">
        <v>3089</v>
      </c>
      <c r="DX5" t="s">
        <v>1090</v>
      </c>
      <c r="DY5" t="s">
        <v>2512</v>
      </c>
      <c r="DZ5" t="s">
        <v>2513</v>
      </c>
      <c r="EA5" t="s">
        <v>2512</v>
      </c>
      <c r="EB5" t="s">
        <v>2513</v>
      </c>
      <c r="EC5" t="s">
        <v>2512</v>
      </c>
      <c r="ED5" t="s">
        <v>2513</v>
      </c>
      <c r="EE5" t="s">
        <v>2512</v>
      </c>
      <c r="EF5" t="s">
        <v>2513</v>
      </c>
      <c r="EG5" t="s">
        <v>4164</v>
      </c>
      <c r="EH5" t="s">
        <v>1090</v>
      </c>
      <c r="EI5" t="s">
        <v>4164</v>
      </c>
      <c r="EJ5" t="s">
        <v>1090</v>
      </c>
      <c r="EK5" t="s">
        <v>2512</v>
      </c>
      <c r="EL5" t="s">
        <v>2513</v>
      </c>
      <c r="EM5" t="s">
        <v>2512</v>
      </c>
      <c r="EN5" t="s">
        <v>2513</v>
      </c>
      <c r="EO5" t="s">
        <v>2995</v>
      </c>
      <c r="EP5" t="s">
        <v>1090</v>
      </c>
      <c r="EQ5" t="s">
        <v>2995</v>
      </c>
      <c r="ER5" t="s">
        <v>1090</v>
      </c>
      <c r="ES5" t="s">
        <v>2512</v>
      </c>
      <c r="ET5" t="s">
        <v>2513</v>
      </c>
      <c r="EU5" t="s">
        <v>2512</v>
      </c>
      <c r="EV5" t="s">
        <v>2513</v>
      </c>
      <c r="EW5" t="s">
        <v>4202</v>
      </c>
      <c r="EX5" t="s">
        <v>1090</v>
      </c>
      <c r="EY5" t="s">
        <v>4202</v>
      </c>
      <c r="EZ5" t="s">
        <v>1090</v>
      </c>
    </row>
    <row r="6" spans="1:156">
      <c r="A6" s="27" t="s">
        <v>106</v>
      </c>
      <c r="B6" t="s">
        <v>2154</v>
      </c>
      <c r="C6" s="27" t="str">
        <f t="shared" si="0"/>
        <v>_Široký ALU rámeček_Aventos_HK_XS</v>
      </c>
      <c r="D6" t="s">
        <v>1053</v>
      </c>
      <c r="E6" t="s">
        <v>1034</v>
      </c>
      <c r="F6" t="s">
        <v>1054</v>
      </c>
      <c r="G6" t="s">
        <v>1045</v>
      </c>
      <c r="H6" t="s">
        <v>1050</v>
      </c>
      <c r="S6" s="23"/>
      <c r="V6" t="s">
        <v>1052</v>
      </c>
      <c r="W6" t="s">
        <v>1055</v>
      </c>
      <c r="X6" s="23"/>
      <c r="AF6" s="23"/>
      <c r="BQ6" s="34" t="s">
        <v>2446</v>
      </c>
      <c r="BR6" t="s">
        <v>966</v>
      </c>
      <c r="CG6" t="s">
        <v>2573</v>
      </c>
      <c r="CH6" t="s">
        <v>2574</v>
      </c>
      <c r="CI6" t="s">
        <v>2573</v>
      </c>
      <c r="CJ6" t="str">
        <f>CONCATENATE("blum ",'Translate&amp;Prices&amp;Logo'!B662," 12047")</f>
        <v>blum tlmený 12047</v>
      </c>
      <c r="CK6" t="str">
        <f>CONCATENATE("hettich ",'Translate&amp;Prices&amp;Logo'!B662," 300279")</f>
        <v>hettich tlmený 300279</v>
      </c>
      <c r="CL6" t="str">
        <f>CONCATENATE("hettich ",'Translate&amp;Prices&amp;Logo'!B662," 104717")</f>
        <v>hettich tlmený 104717</v>
      </c>
      <c r="CM6" t="str">
        <f>CONCATENATE("hettich ",'Translate&amp;Prices&amp;Logo'!B662," 300279")</f>
        <v>hettich tlmený 300279</v>
      </c>
      <c r="CN6" t="str">
        <f>CONCATENATE("hettich ",'Translate&amp;Prices&amp;Logo'!B662," 104717")</f>
        <v>hettich tlmený 104717</v>
      </c>
      <c r="CO6" t="str">
        <f>CONCATENATE("hettich ",'Translate&amp;Prices&amp;Logo'!B662," 300279")</f>
        <v>hettich tlmený 300279</v>
      </c>
      <c r="CP6" t="str">
        <f>CONCATENATE("hettich ",'Translate&amp;Prices&amp;Logo'!B662," 104717")</f>
        <v>hettich tlmený 104717</v>
      </c>
      <c r="CQ6" t="str">
        <f>CONCATENATE("hettich ",'Translate&amp;Prices&amp;Logo'!B663," 300279")</f>
        <v>hettich horný 300279</v>
      </c>
      <c r="CR6" t="str">
        <f>CONCATENATE("hettich ",'Translate&amp;Prices&amp;Logo'!B663," 104717")</f>
        <v>hettich horný 104717</v>
      </c>
      <c r="CS6" t="str">
        <f>CONCATENATE("hettich ",'Translate&amp;Prices&amp;Logo'!B663," 300279")</f>
        <v>hettich horný 300279</v>
      </c>
      <c r="CT6" t="str">
        <f>CONCATENATE("hettich ",'Translate&amp;Prices&amp;Logo'!B663," 104717")</f>
        <v>hettich horný 104717</v>
      </c>
      <c r="CU6" t="str">
        <f>CONCATENATE("hettich ",'Translate&amp;Prices&amp;Logo'!B662," 300279")</f>
        <v>hettich tlmený 300279</v>
      </c>
      <c r="CV6" t="str">
        <f>CONCATENATE("hettich ",'Translate&amp;Prices&amp;Logo'!B662," 104717")</f>
        <v>hettich tlmený 104717</v>
      </c>
      <c r="CW6" t="s">
        <v>1078</v>
      </c>
      <c r="CX6" t="s">
        <v>1084</v>
      </c>
      <c r="CY6" t="str">
        <f>CONCATENATE("hettich ",'Translate&amp;Prices&amp;Logo'!B662," 300279")</f>
        <v>hettich tlmený 300279</v>
      </c>
      <c r="CZ6" t="str">
        <f>CONCATENATE("hettich ",'Translate&amp;Prices&amp;Logo'!B662," 104717")</f>
        <v>hettich tlmený 104717</v>
      </c>
      <c r="DA6" t="s">
        <v>1078</v>
      </c>
      <c r="DB6" t="s">
        <v>1084</v>
      </c>
      <c r="DC6" t="str">
        <f>CONCATENATE("blum ",'Translate&amp;Prices&amp;Logo'!B664," 12106")</f>
        <v>blum dolný 12106</v>
      </c>
      <c r="DD6" t="str">
        <f>CONCATENATE("hettich ",'Translate&amp;Prices&amp;Logo'!B664," 232346")</f>
        <v>hettich dolný 232346</v>
      </c>
      <c r="DE6" t="str">
        <f>CONCATENATE("blum ",'Translate&amp;Prices&amp;Logo'!B664," 12106")</f>
        <v>blum dolný 12106</v>
      </c>
      <c r="DF6" t="str">
        <f>CONCATENATE("hettich ",'Translate&amp;Prices&amp;Logo'!B664," 232346")</f>
        <v>hettich dolný 232346</v>
      </c>
      <c r="DG6" t="s">
        <v>1333</v>
      </c>
      <c r="DH6" t="str">
        <f>CONCATENATE("hettich ",'Translate&amp;Prices&amp;Logo'!B662," 104717")</f>
        <v>hettich tlmený 104717</v>
      </c>
      <c r="DI6" t="str">
        <f>CONCATENATE("hettich ",'Translate&amp;Prices&amp;Logo'!B662," 300279")</f>
        <v>hettich tlmený 300279</v>
      </c>
      <c r="DJ6" t="str">
        <f>CONCATENATE("hettich ",'Translate&amp;Prices&amp;Logo'!B662," 104717")</f>
        <v>hettich tlmený 104717</v>
      </c>
      <c r="DK6" t="str">
        <f>CONCATENATE("blum ",'Translate&amp;Prices&amp;Logo'!B664," 12106")</f>
        <v>blum dolný 12106</v>
      </c>
      <c r="DL6" t="str">
        <f>CONCATENATE("hettich ",'Translate&amp;Prices&amp;Logo'!B664," 232346")</f>
        <v>hettich dolný 232346</v>
      </c>
      <c r="DM6" t="s">
        <v>4338</v>
      </c>
      <c r="DN6" t="s">
        <v>4339</v>
      </c>
      <c r="DO6" t="s">
        <v>4338</v>
      </c>
      <c r="DP6" t="s">
        <v>4339</v>
      </c>
      <c r="DQ6" t="s">
        <v>2540</v>
      </c>
      <c r="DR6" t="s">
        <v>2542</v>
      </c>
      <c r="DS6" t="s">
        <v>2540</v>
      </c>
      <c r="DT6" t="s">
        <v>2542</v>
      </c>
      <c r="DU6" t="s">
        <v>3094</v>
      </c>
      <c r="DV6" t="s">
        <v>3095</v>
      </c>
      <c r="DW6" t="s">
        <v>3094</v>
      </c>
      <c r="DX6" t="s">
        <v>3095</v>
      </c>
      <c r="DY6" t="s">
        <v>2545</v>
      </c>
      <c r="DZ6" t="s">
        <v>2548</v>
      </c>
      <c r="EA6" t="s">
        <v>2545</v>
      </c>
      <c r="EB6" t="s">
        <v>2548</v>
      </c>
      <c r="EC6" t="s">
        <v>4165</v>
      </c>
      <c r="ED6" t="s">
        <v>4166</v>
      </c>
      <c r="EE6" t="s">
        <v>4165</v>
      </c>
      <c r="EF6" t="s">
        <v>4166</v>
      </c>
      <c r="EG6" t="s">
        <v>4167</v>
      </c>
      <c r="EH6" t="s">
        <v>4168</v>
      </c>
      <c r="EI6" t="s">
        <v>4167</v>
      </c>
      <c r="EJ6" t="s">
        <v>4168</v>
      </c>
      <c r="EK6" t="s">
        <v>2997</v>
      </c>
      <c r="EL6" t="s">
        <v>2998</v>
      </c>
      <c r="EM6" t="s">
        <v>2997</v>
      </c>
      <c r="EN6" t="s">
        <v>2998</v>
      </c>
      <c r="EO6" t="s">
        <v>3001</v>
      </c>
      <c r="EP6" t="s">
        <v>2996</v>
      </c>
      <c r="EQ6" t="s">
        <v>3001</v>
      </c>
      <c r="ER6" t="s">
        <v>2996</v>
      </c>
      <c r="ES6" t="s">
        <v>2987</v>
      </c>
      <c r="ET6" t="s">
        <v>2988</v>
      </c>
      <c r="EU6" t="s">
        <v>2987</v>
      </c>
      <c r="EV6" t="s">
        <v>2988</v>
      </c>
      <c r="EW6" t="s">
        <v>4203</v>
      </c>
      <c r="EX6" t="s">
        <v>4204</v>
      </c>
      <c r="EY6" t="s">
        <v>4203</v>
      </c>
      <c r="EZ6" t="s">
        <v>4204</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2446</v>
      </c>
      <c r="BR7" t="s">
        <v>984</v>
      </c>
      <c r="CG7" t="s">
        <v>2573</v>
      </c>
      <c r="CH7" t="s">
        <v>2574</v>
      </c>
      <c r="CI7" t="s">
        <v>2573</v>
      </c>
      <c r="CJ7" t="str">
        <f>CONCATENATE("blum ",'Translate&amp;Prices&amp;Logo'!B662," 12047")</f>
        <v>blum tlmený 12047</v>
      </c>
      <c r="CK7" t="s">
        <v>1058</v>
      </c>
      <c r="CL7" t="s">
        <v>1067</v>
      </c>
      <c r="CM7" t="s">
        <v>1058</v>
      </c>
      <c r="CN7" t="s">
        <v>1067</v>
      </c>
      <c r="CO7" t="s">
        <v>1058</v>
      </c>
      <c r="CP7" t="s">
        <v>1067</v>
      </c>
      <c r="CQ7" t="str">
        <f>CONCATENATE("blum ",'Translate&amp;Prices&amp;Logo'!B664," 12106")</f>
        <v>blum dolný 12106</v>
      </c>
      <c r="CR7" t="str">
        <f>CONCATENATE("blum ",'Translate&amp;Prices&amp;Logo'!B664," 12052")</f>
        <v>blum dolný 12052</v>
      </c>
      <c r="CS7" t="str">
        <f>CONCATENATE("blum ",'Translate&amp;Prices&amp;Logo'!B664," 12106")</f>
        <v>blum dolný 12106</v>
      </c>
      <c r="CT7" t="str">
        <f>CONCATENATE("blum ",'Translate&amp;Prices&amp;Logo'!B664," 12052")</f>
        <v>blum dolný 12052</v>
      </c>
      <c r="CU7" t="s">
        <v>1058</v>
      </c>
      <c r="CV7" t="s">
        <v>1067</v>
      </c>
      <c r="CW7" t="s">
        <v>4458</v>
      </c>
      <c r="CX7" t="s">
        <v>1086</v>
      </c>
      <c r="CY7" t="s">
        <v>1058</v>
      </c>
      <c r="CZ7" t="s">
        <v>1067</v>
      </c>
      <c r="DA7" t="s">
        <v>4458</v>
      </c>
      <c r="DB7" t="s">
        <v>1086</v>
      </c>
      <c r="DC7" t="str">
        <f>CONCATENATE("strong ",'Translate&amp;Prices&amp;Logo'!B664," 92584T")</f>
        <v>strong dolný 92584T</v>
      </c>
      <c r="DD7" t="str">
        <f>CONCATENATE("blum ",'Translate&amp;Prices&amp;Logo'!B664," 12052")</f>
        <v>blum dolný 12052</v>
      </c>
      <c r="DE7" t="str">
        <f>CONCATENATE("strong ",'Translate&amp;Prices&amp;Logo'!B664," 92584T")</f>
        <v>strong dolný 92584T</v>
      </c>
      <c r="DF7" t="str">
        <f>CONCATENATE("blum ",'Translate&amp;Prices&amp;Logo'!B664," 12052")</f>
        <v>blum dolný 12052</v>
      </c>
      <c r="DG7" t="s">
        <v>1058</v>
      </c>
      <c r="DH7" t="s">
        <v>1067</v>
      </c>
      <c r="DI7" t="s">
        <v>1058</v>
      </c>
      <c r="DJ7" t="s">
        <v>1067</v>
      </c>
      <c r="DK7" t="str">
        <f>CONCATENATE("strong ",'Translate&amp;Prices&amp;Logo'!B664," 92584T")</f>
        <v>strong dolný 92584T</v>
      </c>
      <c r="DL7" t="str">
        <f>CONCATENATE("blum ",'Translate&amp;Prices&amp;Logo'!B664," 12052")</f>
        <v>blum dolný 12052</v>
      </c>
      <c r="DM7" t="s">
        <v>1067</v>
      </c>
      <c r="DN7" t="s">
        <v>1058</v>
      </c>
      <c r="DO7" t="s">
        <v>1067</v>
      </c>
      <c r="DP7" t="s">
        <v>1058</v>
      </c>
      <c r="DQ7" t="s">
        <v>4459</v>
      </c>
      <c r="DR7" t="s">
        <v>2543</v>
      </c>
      <c r="DS7" t="s">
        <v>4459</v>
      </c>
      <c r="DT7" t="s">
        <v>2543</v>
      </c>
      <c r="DU7" t="s">
        <v>4460</v>
      </c>
      <c r="DV7" t="s">
        <v>3096</v>
      </c>
      <c r="DW7" t="s">
        <v>4460</v>
      </c>
      <c r="DX7" t="s">
        <v>3096</v>
      </c>
      <c r="DY7" t="s">
        <v>1058</v>
      </c>
      <c r="DZ7" t="s">
        <v>1067</v>
      </c>
      <c r="EA7" t="s">
        <v>1058</v>
      </c>
      <c r="EB7" t="s">
        <v>1067</v>
      </c>
      <c r="EC7" t="s">
        <v>1058</v>
      </c>
      <c r="ED7" t="s">
        <v>1067</v>
      </c>
      <c r="EE7" t="s">
        <v>1058</v>
      </c>
      <c r="EF7" t="s">
        <v>1067</v>
      </c>
      <c r="EG7" t="s">
        <v>4461</v>
      </c>
      <c r="EH7" t="s">
        <v>4170</v>
      </c>
      <c r="EI7" t="s">
        <v>4461</v>
      </c>
      <c r="EJ7" t="s">
        <v>4170</v>
      </c>
      <c r="EK7" t="s">
        <v>1058</v>
      </c>
      <c r="EL7" t="s">
        <v>1067</v>
      </c>
      <c r="EM7" t="s">
        <v>1058</v>
      </c>
      <c r="EN7" t="s">
        <v>1067</v>
      </c>
      <c r="EO7" t="s">
        <v>4462</v>
      </c>
      <c r="EP7" t="s">
        <v>3002</v>
      </c>
      <c r="EQ7" t="s">
        <v>4462</v>
      </c>
      <c r="ER7" t="s">
        <v>3002</v>
      </c>
      <c r="ES7" t="s">
        <v>1058</v>
      </c>
      <c r="ET7" t="s">
        <v>1067</v>
      </c>
      <c r="EU7" t="s">
        <v>1058</v>
      </c>
      <c r="EV7" t="s">
        <v>1067</v>
      </c>
      <c r="EW7" t="s">
        <v>4463</v>
      </c>
      <c r="EX7" t="s">
        <v>4205</v>
      </c>
      <c r="EY7" t="s">
        <v>4463</v>
      </c>
      <c r="EZ7" t="s">
        <v>4205</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2573</v>
      </c>
      <c r="CH8" t="s">
        <v>2574</v>
      </c>
      <c r="CI8" t="s">
        <v>2573</v>
      </c>
      <c r="CJ8" t="str">
        <f>CONCATENATE("blum ",'Translate&amp;Prices&amp;Logo'!B662," 12047")</f>
        <v>blum tlmený 12047</v>
      </c>
      <c r="CK8" t="s">
        <v>1061</v>
      </c>
      <c r="CL8" t="str">
        <f>CONCATENATE("blum ",'Translate&amp;Prices&amp;Logo'!B662," 12047")</f>
        <v>blum tlmený 12047</v>
      </c>
      <c r="CM8" t="s">
        <v>1061</v>
      </c>
      <c r="CN8" t="str">
        <f>CONCATENATE("blum ",'Translate&amp;Prices&amp;Logo'!B662," 12047")</f>
        <v>blum tlmený 12047</v>
      </c>
      <c r="CO8" t="s">
        <v>1061</v>
      </c>
      <c r="CP8" t="str">
        <f>CONCATENATE("blum ",'Translate&amp;Prices&amp;Logo'!B662," 12047")</f>
        <v>blum tlmený 12047</v>
      </c>
      <c r="CQ8" t="str">
        <f>CONCATENATE("strong ",'Translate&amp;Prices&amp;Logo'!B664," 92584T")</f>
        <v>strong dolný 92584T</v>
      </c>
      <c r="CR8" t="str">
        <f>CONCATENATE("blum ",'Translate&amp;Prices&amp;Logo'!B663," 12047")</f>
        <v>blum horný 12047</v>
      </c>
      <c r="CS8" t="str">
        <f>CONCATENATE("strong ",'Translate&amp;Prices&amp;Logo'!B664," 92584T")</f>
        <v>strong dolný 92584T</v>
      </c>
      <c r="CT8" t="str">
        <f>CONCATENATE("blum ",'Translate&amp;Prices&amp;Logo'!B663," 12047")</f>
        <v>blum horný 12047</v>
      </c>
      <c r="CU8" t="s">
        <v>1061</v>
      </c>
      <c r="CV8" t="str">
        <f>CONCATENATE("blum ",'Translate&amp;Prices&amp;Logo'!B662," 12047")</f>
        <v>blum tlmený 12047</v>
      </c>
      <c r="CW8" t="s">
        <v>4458</v>
      </c>
      <c r="CX8" t="s">
        <v>1088</v>
      </c>
      <c r="CY8" t="s">
        <v>1061</v>
      </c>
      <c r="CZ8" t="str">
        <f>CONCATENATE("blum ",'Translate&amp;Prices&amp;Logo'!B662," 12047")</f>
        <v>blum tlmený 12047</v>
      </c>
      <c r="DA8" t="s">
        <v>4458</v>
      </c>
      <c r="DB8" t="s">
        <v>1088</v>
      </c>
      <c r="DC8" t="str">
        <f>CONCATENATE("strong ",'Translate&amp;Prices&amp;Logo'!B664," 92584T")</f>
        <v>strong dolný 92584T</v>
      </c>
      <c r="DD8" t="str">
        <f>CONCATENATE("strong ",'Translate&amp;Prices&amp;Logo'!B664," 350834")</f>
        <v>strong dolný 350834</v>
      </c>
      <c r="DE8" t="str">
        <f>CONCATENATE("strong ",'Translate&amp;Prices&amp;Logo'!B664," 92584T")</f>
        <v>strong dolný 92584T</v>
      </c>
      <c r="DF8" t="str">
        <f>CONCATENATE("strong ",'Translate&amp;Prices&amp;Logo'!B664," 350834")</f>
        <v>strong dolný 350834</v>
      </c>
      <c r="DG8" t="s">
        <v>1061</v>
      </c>
      <c r="DH8" t="str">
        <f>CONCATENATE("blum ",'Translate&amp;Prices&amp;Logo'!B662," 12047")</f>
        <v>blum tlmený 12047</v>
      </c>
      <c r="DI8" t="s">
        <v>1061</v>
      </c>
      <c r="DJ8" t="str">
        <f>CONCATENATE("blum ",'Translate&amp;Prices&amp;Logo'!B662," 12047")</f>
        <v>blum tlmený 12047</v>
      </c>
      <c r="DK8" t="str">
        <f>CONCATENATE("strong ",'Translate&amp;Prices&amp;Logo'!B664," 92584T")</f>
        <v>strong dolný 92584T</v>
      </c>
      <c r="DL8" t="str">
        <f>CONCATENATE("strong ",'Translate&amp;Prices&amp;Logo'!B664," 350834")</f>
        <v>strong dolný 350834</v>
      </c>
      <c r="DM8" t="s">
        <v>4340</v>
      </c>
      <c r="DN8" t="s">
        <v>1061</v>
      </c>
      <c r="DO8" t="s">
        <v>4340</v>
      </c>
      <c r="DP8" t="s">
        <v>1061</v>
      </c>
      <c r="DR8" t="s">
        <v>2544</v>
      </c>
      <c r="DS8" t="s">
        <v>4459</v>
      </c>
      <c r="DT8" t="s">
        <v>2544</v>
      </c>
      <c r="DU8" t="s">
        <v>4460</v>
      </c>
      <c r="DV8" t="s">
        <v>3097</v>
      </c>
      <c r="DW8" t="s">
        <v>4460</v>
      </c>
      <c r="DX8" t="s">
        <v>3097</v>
      </c>
      <c r="DY8" t="s">
        <v>1061</v>
      </c>
      <c r="DZ8" t="s">
        <v>2549</v>
      </c>
      <c r="EA8" t="s">
        <v>1061</v>
      </c>
      <c r="EB8" t="s">
        <v>2549</v>
      </c>
      <c r="EC8" t="s">
        <v>1061</v>
      </c>
      <c r="ED8" t="s">
        <v>4171</v>
      </c>
      <c r="EE8" t="s">
        <v>1061</v>
      </c>
      <c r="EF8" t="s">
        <v>4171</v>
      </c>
      <c r="EG8" t="s">
        <v>4461</v>
      </c>
      <c r="EH8" t="s">
        <v>4172</v>
      </c>
      <c r="EI8" t="s">
        <v>4461</v>
      </c>
      <c r="EJ8" t="s">
        <v>4172</v>
      </c>
      <c r="EK8" t="s">
        <v>1061</v>
      </c>
      <c r="EL8" t="s">
        <v>2994</v>
      </c>
      <c r="EM8" t="s">
        <v>1061</v>
      </c>
      <c r="EN8" t="s">
        <v>2994</v>
      </c>
      <c r="EO8" t="s">
        <v>4462</v>
      </c>
      <c r="EP8" t="s">
        <v>3005</v>
      </c>
      <c r="EQ8" t="s">
        <v>4462</v>
      </c>
      <c r="ER8" t="s">
        <v>3005</v>
      </c>
      <c r="ES8" t="s">
        <v>1061</v>
      </c>
      <c r="ET8" t="s">
        <v>2986</v>
      </c>
      <c r="EU8" t="s">
        <v>1061</v>
      </c>
      <c r="EV8" t="s">
        <v>2986</v>
      </c>
      <c r="EW8" t="s">
        <v>4463</v>
      </c>
      <c r="EX8" t="s">
        <v>4206</v>
      </c>
      <c r="EY8" t="s">
        <v>4463</v>
      </c>
      <c r="EZ8" t="s">
        <v>4206</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2573</v>
      </c>
      <c r="CH9" t="s">
        <v>2574</v>
      </c>
      <c r="CI9" t="s">
        <v>2573</v>
      </c>
      <c r="CJ9" t="str">
        <f>CONCATENATE("blum ",'Translate&amp;Prices&amp;Logo'!B662," 12047")</f>
        <v>blum tlmený 12047</v>
      </c>
      <c r="CK9" t="str">
        <f>CONCATENATE("strong ",'Translate&amp;Prices&amp;Logo'!B662," 92584T")</f>
        <v>strong tlmený 92584T</v>
      </c>
      <c r="CL9" t="s">
        <v>1069</v>
      </c>
      <c r="CM9" t="str">
        <f>CONCATENATE("strong ",'Translate&amp;Prices&amp;Logo'!B662," 92584T")</f>
        <v>strong tlmený 92584T</v>
      </c>
      <c r="CN9" t="s">
        <v>1069</v>
      </c>
      <c r="CO9" t="str">
        <f>CONCATENATE("strong ",'Translate&amp;Prices&amp;Logo'!B662," 92584T")</f>
        <v>strong tlmený 92584T</v>
      </c>
      <c r="CP9" t="s">
        <v>1069</v>
      </c>
      <c r="CQ9" t="str">
        <f>CONCATENATE("strong ",'Translate&amp;Prices&amp;Logo'!B663," 92584T")</f>
        <v>strong horný 92584T</v>
      </c>
      <c r="CR9" t="str">
        <f>CONCATENATE("strong ",'Translate&amp;Prices&amp;Logo'!B664," 350834")</f>
        <v>strong dolný 350834</v>
      </c>
      <c r="CS9" t="str">
        <f>CONCATENATE("strong ",'Translate&amp;Prices&amp;Logo'!B663," 92584T")</f>
        <v>strong horný 92584T</v>
      </c>
      <c r="CT9" t="str">
        <f>CONCATENATE("strong ",'Translate&amp;Prices&amp;Logo'!B664," 350834")</f>
        <v>strong dolný 350834</v>
      </c>
      <c r="CU9" t="str">
        <f>CONCATENATE("strong ",'Translate&amp;Prices&amp;Logo'!B662," 92584T")</f>
        <v>strong tlmený 92584T</v>
      </c>
      <c r="CV9" t="s">
        <v>1069</v>
      </c>
      <c r="CW9" t="s">
        <v>4458</v>
      </c>
      <c r="CX9" t="s">
        <v>1088</v>
      </c>
      <c r="CY9" t="str">
        <f>CONCATENATE("strong ",'Translate&amp;Prices&amp;Logo'!B662," 92584T")</f>
        <v>strong tlmený 92584T</v>
      </c>
      <c r="CZ9" t="s">
        <v>1069</v>
      </c>
      <c r="DA9" t="s">
        <v>4458</v>
      </c>
      <c r="DB9" t="s">
        <v>1088</v>
      </c>
      <c r="DC9" t="str">
        <f>CONCATENATE("strong ",'Translate&amp;Prices&amp;Logo'!B664," 92584T")</f>
        <v>strong dolný 92584T</v>
      </c>
      <c r="DD9" t="str">
        <f>CONCATENATE("strong ",'Translate&amp;Prices&amp;Logo'!B664," 350834")</f>
        <v>strong dolný 350834</v>
      </c>
      <c r="DE9" t="str">
        <f>CONCATENATE("strong ",'Translate&amp;Prices&amp;Logo'!B664," 92584T")</f>
        <v>strong dolný 92584T</v>
      </c>
      <c r="DF9" t="str">
        <f>CONCATENATE("strong ",'Translate&amp;Prices&amp;Logo'!B664," 350834")</f>
        <v>strong dolný 350834</v>
      </c>
      <c r="DG9" t="s">
        <v>1337</v>
      </c>
      <c r="DH9" t="s">
        <v>1069</v>
      </c>
      <c r="DI9" t="str">
        <f>CONCATENATE("strong ",'Translate&amp;Prices&amp;Logo'!B662," 92584T")</f>
        <v>strong tlmený 92584T</v>
      </c>
      <c r="DJ9" t="s">
        <v>1069</v>
      </c>
      <c r="DK9" t="str">
        <f>CONCATENATE("strong ",'Translate&amp;Prices&amp;Logo'!B664," 92584T")</f>
        <v>strong dolný 92584T</v>
      </c>
      <c r="DL9" t="str">
        <f>CONCATENATE("strong ",'Translate&amp;Prices&amp;Logo'!B664," 350834")</f>
        <v>strong dolný 350834</v>
      </c>
      <c r="DM9" t="s">
        <v>1069</v>
      </c>
      <c r="DN9" t="s">
        <v>4342</v>
      </c>
      <c r="DO9" t="s">
        <v>1069</v>
      </c>
      <c r="DP9" t="s">
        <v>4342</v>
      </c>
      <c r="DR9" t="s">
        <v>2544</v>
      </c>
      <c r="DS9" t="s">
        <v>4459</v>
      </c>
      <c r="DT9" t="s">
        <v>2544</v>
      </c>
      <c r="DU9" t="s">
        <v>4460</v>
      </c>
      <c r="DV9" t="s">
        <v>3097</v>
      </c>
      <c r="DW9" t="s">
        <v>4460</v>
      </c>
      <c r="DX9" t="s">
        <v>3097</v>
      </c>
      <c r="DY9" t="s">
        <v>2547</v>
      </c>
      <c r="DZ9" t="s">
        <v>1069</v>
      </c>
      <c r="EA9" t="s">
        <v>2547</v>
      </c>
      <c r="EB9" t="s">
        <v>1069</v>
      </c>
      <c r="EC9" t="s">
        <v>4174</v>
      </c>
      <c r="ED9" t="s">
        <v>1069</v>
      </c>
      <c r="EE9" t="s">
        <v>4174</v>
      </c>
      <c r="EF9" t="s">
        <v>1069</v>
      </c>
      <c r="EG9" t="s">
        <v>4461</v>
      </c>
      <c r="EH9" t="s">
        <v>4172</v>
      </c>
      <c r="EI9" t="s">
        <v>4461</v>
      </c>
      <c r="EJ9" t="s">
        <v>4172</v>
      </c>
      <c r="EK9" t="s">
        <v>3008</v>
      </c>
      <c r="EL9" t="s">
        <v>1069</v>
      </c>
      <c r="EM9" t="s">
        <v>3008</v>
      </c>
      <c r="EN9" t="s">
        <v>1069</v>
      </c>
      <c r="EO9" t="s">
        <v>4462</v>
      </c>
      <c r="EP9" t="s">
        <v>3005</v>
      </c>
      <c r="EQ9" t="s">
        <v>4462</v>
      </c>
      <c r="ER9" t="s">
        <v>3005</v>
      </c>
      <c r="ES9" t="s">
        <v>2990</v>
      </c>
      <c r="ET9" t="s">
        <v>1069</v>
      </c>
      <c r="EU9" t="s">
        <v>2990</v>
      </c>
      <c r="EV9" t="s">
        <v>1069</v>
      </c>
      <c r="EW9" t="s">
        <v>4463</v>
      </c>
      <c r="EX9" t="s">
        <v>4206</v>
      </c>
      <c r="EY9" t="s">
        <v>4463</v>
      </c>
      <c r="EZ9" t="s">
        <v>4206</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2573</v>
      </c>
      <c r="CH10" t="s">
        <v>2574</v>
      </c>
      <c r="CI10" t="s">
        <v>2573</v>
      </c>
      <c r="CJ10" t="str">
        <f>CONCATENATE("blum ",'Translate&amp;Prices&amp;Logo'!B662," 12047")</f>
        <v>blum tlmený 12047</v>
      </c>
      <c r="CK10" t="str">
        <f>CONCATENATE("strong ",'Translate&amp;Prices&amp;Logo'!B662," 92584T")</f>
        <v>strong tlmený 92584T</v>
      </c>
      <c r="CL10" t="str">
        <f>CONCATENATE("strong ",'Translate&amp;Prices&amp;Logo'!B662," 350827")</f>
        <v>strong tlmený 350827</v>
      </c>
      <c r="CM10" t="str">
        <f>CONCATENATE("strong ",'Translate&amp;Prices&amp;Logo'!B662," 92584T")</f>
        <v>strong tlmený 92584T</v>
      </c>
      <c r="CN10" t="str">
        <f>CONCATENATE("strong ",'Translate&amp;Prices&amp;Logo'!B662," 350827")</f>
        <v>strong tlmený 350827</v>
      </c>
      <c r="CO10" t="str">
        <f>CONCATENATE("strong ",'Translate&amp;Prices&amp;Logo'!B662," 92584T")</f>
        <v>strong tlmený 92584T</v>
      </c>
      <c r="CP10" t="str">
        <f>CONCATENATE("strong ",'Translate&amp;Prices&amp;Logo'!B662," 350827")</f>
        <v>strong tlmený 350827</v>
      </c>
      <c r="CQ10" t="str">
        <f>CONCATENATE("strong ",'Translate&amp;Prices&amp;Logo'!B663," 92584T")</f>
        <v>strong horný 92584T</v>
      </c>
      <c r="CR10" t="str">
        <f>CONCATENATE("strong ",'Translate&amp;Prices&amp;Logo'!B663," 350827")</f>
        <v>strong horný 350827</v>
      </c>
      <c r="CS10" t="str">
        <f>CONCATENATE("strong ",'Translate&amp;Prices&amp;Logo'!B663," 92584T")</f>
        <v>strong horný 92584T</v>
      </c>
      <c r="CT10" t="str">
        <f>CONCATENATE("strong ",'Translate&amp;Prices&amp;Logo'!B663," 350827")</f>
        <v>strong horný 350827</v>
      </c>
      <c r="CU10" t="str">
        <f>CONCATENATE("strong ",'Translate&amp;Prices&amp;Logo'!B662," 92584T")</f>
        <v>strong tlmený 92584T</v>
      </c>
      <c r="CV10" t="str">
        <f>CONCATENATE("strong ",'Translate&amp;Prices&amp;Logo'!B662," 350827")</f>
        <v>strong tlmený 350827</v>
      </c>
      <c r="CW10" t="s">
        <v>4458</v>
      </c>
      <c r="CX10" t="s">
        <v>1088</v>
      </c>
      <c r="CY10" t="str">
        <f>CONCATENATE("strong ",'Translate&amp;Prices&amp;Logo'!B662," 92584T")</f>
        <v>strong tlmený 92584T</v>
      </c>
      <c r="CZ10" t="str">
        <f>CONCATENATE("strong ",'Translate&amp;Prices&amp;Logo'!B662," 350827")</f>
        <v>strong tlmený 350827</v>
      </c>
      <c r="DA10" t="s">
        <v>4458</v>
      </c>
      <c r="DB10" t="s">
        <v>1088</v>
      </c>
      <c r="DC10" t="str">
        <f>CONCATENATE("strong ",'Translate&amp;Prices&amp;Logo'!B664," 92584T")</f>
        <v>strong dolný 92584T</v>
      </c>
      <c r="DD10" t="str">
        <f>CONCATENATE("strong ",'Translate&amp;Prices&amp;Logo'!B664," 350834")</f>
        <v>strong dolný 350834</v>
      </c>
      <c r="DE10" t="str">
        <f>CONCATENATE("strong ",'Translate&amp;Prices&amp;Logo'!B664," 92584T")</f>
        <v>strong dolný 92584T</v>
      </c>
      <c r="DF10" t="str">
        <f>CONCATENATE("strong ",'Translate&amp;Prices&amp;Logo'!B664," 350834")</f>
        <v>strong dolný 350834</v>
      </c>
      <c r="DG10" t="s">
        <v>1337</v>
      </c>
      <c r="DH10" t="str">
        <f>CONCATENATE("strong ",'Translate&amp;Prices&amp;Logo'!B662," 350827")</f>
        <v>strong tlmený 350827</v>
      </c>
      <c r="DI10" t="str">
        <f>CONCATENATE("strong ",'Translate&amp;Prices&amp;Logo'!B662," 92584T")</f>
        <v>strong tlmený 92584T</v>
      </c>
      <c r="DJ10" t="str">
        <f>CONCATENATE("strong ",'Translate&amp;Prices&amp;Logo'!B662," 350827")</f>
        <v>strong tlmený 350827</v>
      </c>
      <c r="DK10" t="str">
        <f>CONCATENATE("strong ",'Translate&amp;Prices&amp;Logo'!B664," 92584T")</f>
        <v>strong dolný 92584T</v>
      </c>
      <c r="DL10" t="str">
        <f>CONCATENATE("strong ",'Translate&amp;Prices&amp;Logo'!B664," 350834")</f>
        <v>strong dolný 350834</v>
      </c>
      <c r="DM10" t="s">
        <v>4341</v>
      </c>
      <c r="DN10" t="s">
        <v>4342</v>
      </c>
      <c r="DO10" t="s">
        <v>4341</v>
      </c>
      <c r="DP10" t="s">
        <v>4342</v>
      </c>
      <c r="DR10" t="s">
        <v>2544</v>
      </c>
      <c r="DS10" t="s">
        <v>4459</v>
      </c>
      <c r="DT10" t="s">
        <v>2544</v>
      </c>
      <c r="DU10" t="s">
        <v>4460</v>
      </c>
      <c r="DV10" t="s">
        <v>3097</v>
      </c>
      <c r="DW10" t="s">
        <v>4460</v>
      </c>
      <c r="DX10" t="s">
        <v>3097</v>
      </c>
      <c r="DY10" t="s">
        <v>2547</v>
      </c>
      <c r="DZ10" t="s">
        <v>2550</v>
      </c>
      <c r="EA10" t="s">
        <v>2547</v>
      </c>
      <c r="EB10" t="s">
        <v>2550</v>
      </c>
      <c r="EC10" t="s">
        <v>4174</v>
      </c>
      <c r="ED10" t="s">
        <v>4175</v>
      </c>
      <c r="EE10" t="s">
        <v>4174</v>
      </c>
      <c r="EF10" t="s">
        <v>4175</v>
      </c>
      <c r="EG10" t="s">
        <v>4461</v>
      </c>
      <c r="EH10" t="s">
        <v>4172</v>
      </c>
      <c r="EI10" t="s">
        <v>4461</v>
      </c>
      <c r="EJ10" t="s">
        <v>4172</v>
      </c>
      <c r="EK10" t="s">
        <v>3008</v>
      </c>
      <c r="EL10" t="s">
        <v>3009</v>
      </c>
      <c r="EM10" t="s">
        <v>3008</v>
      </c>
      <c r="EN10" t="s">
        <v>3009</v>
      </c>
      <c r="EO10" t="s">
        <v>4462</v>
      </c>
      <c r="EP10" t="s">
        <v>3005</v>
      </c>
      <c r="EQ10" t="s">
        <v>4462</v>
      </c>
      <c r="ER10" t="s">
        <v>3005</v>
      </c>
      <c r="ES10" t="s">
        <v>2990</v>
      </c>
      <c r="ET10" t="s">
        <v>2991</v>
      </c>
      <c r="EU10" t="s">
        <v>2990</v>
      </c>
      <c r="EV10" t="s">
        <v>2991</v>
      </c>
      <c r="EW10" t="s">
        <v>4463</v>
      </c>
      <c r="EX10" t="s">
        <v>4206</v>
      </c>
      <c r="EY10" t="s">
        <v>4463</v>
      </c>
      <c r="EZ10" t="s">
        <v>4206</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4458</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4458</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4458</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4458</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4458</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4458</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4458</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4457</v>
      </c>
      <c r="R61" t="s">
        <v>1086</v>
      </c>
      <c r="S61" t="s">
        <v>1058</v>
      </c>
      <c r="T61" t="s">
        <v>1067</v>
      </c>
      <c r="U61" t="s">
        <v>4458</v>
      </c>
      <c r="V61" t="s">
        <v>1086</v>
      </c>
      <c r="W61" t="s">
        <v>4458</v>
      </c>
      <c r="X61" t="s">
        <v>1086</v>
      </c>
      <c r="Y61" t="s">
        <v>4458</v>
      </c>
      <c r="Z61" t="s">
        <v>1086</v>
      </c>
      <c r="AA61" t="s">
        <v>1058</v>
      </c>
      <c r="AB61" t="s">
        <v>1067</v>
      </c>
      <c r="AC61" t="s">
        <v>1058</v>
      </c>
      <c r="AD61" t="s">
        <v>1067</v>
      </c>
      <c r="AE61" t="s">
        <v>4458</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4458</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4458</v>
      </c>
      <c r="L64" s="28" t="s">
        <v>1089</v>
      </c>
      <c r="M64" s="28" t="s">
        <v>4458</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51" t="s">
        <v>3723</v>
      </c>
      <c r="B74" s="251" t="s">
        <v>3724</v>
      </c>
      <c r="C74" s="251" t="s">
        <v>3725</v>
      </c>
      <c r="E74" s="251"/>
      <c r="F74" s="251"/>
      <c r="G74" s="251"/>
      <c r="H74" s="251"/>
      <c r="J74" s="251"/>
    </row>
    <row r="75" spans="1:29">
      <c r="A75" s="251" t="str">
        <f>'Translate&amp;Prices&amp;Logo'!B164</f>
        <v>sieťka alu zlatá - rozmer oka 10x6x1 mm</v>
      </c>
      <c r="B75" s="251" t="str">
        <f>'Translate&amp;Prices&amp;Logo'!B164</f>
        <v>sieťka alu zlatá - rozmer oka 10x6x1 mm</v>
      </c>
      <c r="C75" s="251" t="str">
        <f>'Translate&amp;Prices&amp;Logo'!B166</f>
        <v>sieťka ocel biela - rozmer oka 8x4x1 mm</v>
      </c>
      <c r="E75" s="251"/>
      <c r="F75" s="251"/>
      <c r="G75" s="251"/>
      <c r="H75" s="251"/>
      <c r="J75" s="251"/>
    </row>
    <row r="76" spans="1:29">
      <c r="A76" s="251" t="str">
        <f>'Translate&amp;Prices&amp;Logo'!B167</f>
        <v>sieťka elox - rozmer oka 10x6x1 mm</v>
      </c>
      <c r="B76" s="251" t="str">
        <f>'Translate&amp;Prices&amp;Logo'!B167</f>
        <v>sieťka elox - rozmer oka 10x6x1 mm</v>
      </c>
      <c r="D76" s="251"/>
      <c r="F76" s="251"/>
      <c r="G76" s="251"/>
    </row>
    <row r="77" spans="1:29">
      <c r="B77" s="251" t="str">
        <f>'Translate&amp;Prices&amp;Logo'!B165</f>
        <v>sieťka ocel čierna mat - rozmer oka 8x4x1 mm</v>
      </c>
      <c r="D77" s="251"/>
      <c r="F77" s="251"/>
      <c r="G77" s="251"/>
    </row>
    <row r="80" spans="1:29">
      <c r="A80" t="s">
        <v>2296</v>
      </c>
      <c r="H80" s="251"/>
    </row>
    <row r="81" spans="1:9">
      <c r="A81" s="251" t="str">
        <f>'Translate&amp;Prices&amp;Logo'!$B$13</f>
        <v>BRW zlatá - maximálna odporúčaná dĺžka profilu 2500 mm</v>
      </c>
      <c r="B81" t="s">
        <v>3723</v>
      </c>
      <c r="C81" s="437"/>
      <c r="D81" s="437"/>
      <c r="E81" s="437"/>
      <c r="F81" s="437"/>
      <c r="G81" s="437"/>
      <c r="H81" s="437"/>
      <c r="I81" s="437"/>
    </row>
    <row r="82" spans="1:9">
      <c r="A82" s="251" t="str">
        <f>'Translate&amp;Prices&amp;Logo'!$B$6</f>
        <v>BRW (elox.) - maximálna odporúčaná odporúčaná dĺžka profilu 2500 mm</v>
      </c>
      <c r="B82" t="s">
        <v>3724</v>
      </c>
      <c r="C82" s="437"/>
      <c r="D82" s="438"/>
      <c r="E82" s="438"/>
      <c r="F82" s="438"/>
      <c r="G82" s="438"/>
      <c r="H82" s="438"/>
      <c r="I82" s="438"/>
    </row>
    <row r="83" spans="1:9">
      <c r="A83" s="251" t="str">
        <f>'Translate&amp;Prices&amp;Logo'!$B$12</f>
        <v>BRW čierna matt - maximálna odporúčaná dĺžka profilu 2500 mm</v>
      </c>
      <c r="B83" t="s">
        <v>3724</v>
      </c>
      <c r="C83" s="437"/>
      <c r="D83" s="438"/>
      <c r="E83" s="438"/>
      <c r="F83" s="438"/>
      <c r="G83" s="438"/>
      <c r="H83" s="438"/>
      <c r="I83" s="438"/>
    </row>
    <row r="84" spans="1:9">
      <c r="A84" t="str">
        <f>'Translate&amp;Prices&amp;Logo'!$B$9</f>
        <v>BRW biela lesk RAL 9003 - maximálna odporúčaná dĺžka profilu 2500 mm</v>
      </c>
      <c r="B84" s="251" t="s">
        <v>3725</v>
      </c>
      <c r="C84" s="437"/>
      <c r="D84" s="438"/>
      <c r="E84" s="438"/>
      <c r="F84" s="438"/>
      <c r="G84" s="438"/>
      <c r="H84" s="438"/>
      <c r="I84" s="438"/>
    </row>
    <row r="85" spans="1:9">
      <c r="A85" s="251" t="str">
        <f>'Translate&amp;Prices&amp;Logo'!$B$8</f>
        <v>BRW biela matt RAL 9003 - maximálna odporúčaná dĺžka profilu 2500 mm</v>
      </c>
      <c r="B85" s="251" t="s">
        <v>3725</v>
      </c>
      <c r="C85" s="437"/>
      <c r="D85" s="438"/>
      <c r="E85" s="438"/>
      <c r="F85" s="438"/>
      <c r="G85" s="438"/>
      <c r="H85" s="438"/>
      <c r="I85" s="438"/>
    </row>
    <row r="86" spans="1:9">
      <c r="A86" s="252" t="str">
        <f>'Translate&amp;Prices&amp;Logo'!$B$31</f>
        <v>Vivaro zlatá - maximálna odporúčaná dĺžka profilu 2150 mm</v>
      </c>
      <c r="B86" t="s">
        <v>3723</v>
      </c>
      <c r="H86" s="251"/>
    </row>
    <row r="87" spans="1:9">
      <c r="A87" s="251" t="str">
        <f>'Translate&amp;Prices&amp;Logo'!$B$43</f>
        <v>Vivaro (elox.) - maximálna odporúčaná dĺžka profilu 2500 mm</v>
      </c>
      <c r="B87" t="s">
        <v>3724</v>
      </c>
      <c r="H87" s="251"/>
    </row>
    <row r="88" spans="1:9">
      <c r="A88" s="251" t="str">
        <f>'Translate&amp;Prices&amp;Logo'!$B$44</f>
        <v>Vivaro čierne mat - maximálna odporúčaná dĺžka profilu 2500 mm</v>
      </c>
      <c r="B88" t="s">
        <v>3724</v>
      </c>
      <c r="H88" s="251"/>
    </row>
    <row r="89" spans="1:9">
      <c r="A89" s="251" t="str">
        <f>'Translate&amp;Prices&amp;Logo'!$B$47</f>
        <v>Vivaro biela matt RAL 9003 - maximálna odporúčaná dĺžka profilu 2500 mm</v>
      </c>
      <c r="B89" s="251" t="s">
        <v>3725</v>
      </c>
      <c r="H89" s="251"/>
    </row>
    <row r="90" spans="1:9">
      <c r="A90" t="str">
        <f>'Translate&amp;Prices&amp;Logo'!$B$48</f>
        <v>Vivaro biela lesk RAL 9003 - maximálna odporúčaná dĺžka profilu 2500 mm</v>
      </c>
      <c r="B90" s="251" t="s">
        <v>3725</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'Translate&amp;Prices&amp;Logo'!$B$99</f>
        <v>Číre</v>
      </c>
      <c r="B96" t="str">
        <f>'Translate&amp;Prices&amp;Logo'!$B$115</f>
        <v>Zrkadlo</v>
      </c>
      <c r="C96" t="str">
        <f>'Translate&amp;Prices&amp;Logo'!$B$99</f>
        <v>Číre</v>
      </c>
      <c r="D96" t="str">
        <f>'Translate&amp;Prices&amp;Logo'!$B$627</f>
        <v>Neplatná kombinácia</v>
      </c>
      <c r="E96" t="str">
        <f>'Translate&amp;Prices&amp;Logo'!$B$115</f>
        <v>Zrkadlo</v>
      </c>
      <c r="F96" t="str">
        <f>'Translate&amp;Prices&amp;Logo'!$B$115</f>
        <v>Zrkadlo</v>
      </c>
    </row>
    <row r="97" spans="1:6">
      <c r="A97" t="str">
        <f>'Translate&amp;Prices&amp;Logo'!$B$104</f>
        <v>Satinato</v>
      </c>
      <c r="B97" t="str">
        <f>'Translate&amp;Prices&amp;Logo'!$B$116</f>
        <v>Zrkadlo hnedé</v>
      </c>
      <c r="C97" t="str">
        <f>'Translate&amp;Prices&amp;Logo'!$B$161</f>
        <v>Optiwhite</v>
      </c>
      <c r="E97" t="str">
        <f>'Translate&amp;Prices&amp;Logo'!$B$116</f>
        <v>Zrkadlo hnedé</v>
      </c>
      <c r="F97" t="str">
        <f>'Translate&amp;Prices&amp;Logo'!$B$116</f>
        <v>Zrkadlo hnedé</v>
      </c>
    </row>
    <row r="98" spans="1:6">
      <c r="A98" t="str">
        <f>'Translate&amp;Prices&amp;Logo'!$B$106</f>
        <v>Satinato hnedé / Decormat Braz</v>
      </c>
      <c r="B98" t="str">
        <f>'Translate&amp;Prices&amp;Logo'!$B$117</f>
        <v>Zrkadlo grafit</v>
      </c>
      <c r="C98" t="str">
        <f>'Translate&amp;Prices&amp;Logo'!$B$105</f>
        <v>MASTER SOFT</v>
      </c>
      <c r="E98" t="str">
        <f>'Translate&amp;Prices&amp;Logo'!$B$117</f>
        <v>Zrkadlo grafit</v>
      </c>
      <c r="F98" t="str">
        <f>'Translate&amp;Prices&amp;Logo'!$B$117</f>
        <v>Zrkadlo grafit</v>
      </c>
    </row>
    <row r="99" spans="1:6">
      <c r="A99" t="str">
        <f>'Translate&amp;Prices&amp;Logo'!$B$107</f>
        <v>Satinato grafit  / Decormat grafit</v>
      </c>
      <c r="B99" t="str">
        <f>'Translate&amp;Prices&amp;Logo'!$B$126</f>
        <v>Lacobel RAL 1013</v>
      </c>
      <c r="C99" t="str">
        <f>'Translate&amp;Prices&amp;Logo'!$B$118</f>
        <v>VISIOSUN horizont</v>
      </c>
      <c r="E99" t="str">
        <f>'Translate&amp;Prices&amp;Logo'!$B$126</f>
        <v>Lacobel RAL 1013</v>
      </c>
      <c r="F99" t="str">
        <f>'Translate&amp;Prices&amp;Logo'!$B$126</f>
        <v>Lacobel RAL 1013</v>
      </c>
    </row>
    <row r="100" spans="1:6">
      <c r="A100" t="str">
        <f>'Translate&amp;Prices&amp;Logo'!$B$105</f>
        <v>MASTER SOFT</v>
      </c>
      <c r="B100" t="str">
        <f>'Translate&amp;Prices&amp;Logo'!$B$127</f>
        <v>Lacobel RAL 1015</v>
      </c>
      <c r="C100" t="str">
        <f>'Translate&amp;Prices&amp;Logo'!$B$129</f>
        <v>VISIOSUN vertikálne</v>
      </c>
      <c r="E100" t="str">
        <f>'Translate&amp;Prices&amp;Logo'!$B$127</f>
        <v>Lacobel RAL 1015</v>
      </c>
      <c r="F100" t="str">
        <f>'Translate&amp;Prices&amp;Logo'!$B$127</f>
        <v>Lacobel RAL 1015</v>
      </c>
    </row>
    <row r="101" spans="1:6">
      <c r="A101" t="str">
        <f>'Translate&amp;Prices&amp;Logo'!$B$120</f>
        <v>Master (Carre)</v>
      </c>
      <c r="B101" t="str">
        <f>'Translate&amp;Prices&amp;Logo'!$B$133</f>
        <v>Lacobel RAL 7035</v>
      </c>
      <c r="C101" t="str">
        <f>'Translate&amp;Prices&amp;Logo'!$B$130</f>
        <v>VISIOSUN satén vertikálne</v>
      </c>
      <c r="E101" t="str">
        <f>'Translate&amp;Prices&amp;Logo'!$B$133</f>
        <v>Lacobel RAL 7035</v>
      </c>
      <c r="F101" t="str">
        <f>'Translate&amp;Prices&amp;Logo'!$B$133</f>
        <v>Lacobel RAL 7035</v>
      </c>
    </row>
    <row r="102" spans="1:6">
      <c r="A102" t="str">
        <f>'Translate&amp;Prices&amp;Logo'!$B$121</f>
        <v>Master  Ligne horizont</v>
      </c>
      <c r="B102" t="str">
        <f>'Translate&amp;Prices&amp;Logo'!$B$135</f>
        <v>Lacobel RAL 9003</v>
      </c>
      <c r="C102" t="str">
        <f>'Translate&amp;Prices&amp;Logo'!$B$131</f>
        <v>VISIOSUN satén horizont</v>
      </c>
      <c r="E102" t="str">
        <f>'Translate&amp;Prices&amp;Logo'!$B$135</f>
        <v>Lacobel RAL 9003</v>
      </c>
      <c r="F102" t="str">
        <f>'Translate&amp;Prices&amp;Logo'!$B$135</f>
        <v>Lacobel RAL 9003</v>
      </c>
    </row>
    <row r="103" spans="1:6">
      <c r="A103" t="str">
        <f>'Translate&amp;Prices&amp;Logo'!$B$125</f>
        <v>Master  Ligne vertikálne</v>
      </c>
      <c r="B103" t="str">
        <f>'Translate&amp;Prices&amp;Logo'!$B$136</f>
        <v>Lacobel RAL 9005</v>
      </c>
      <c r="C103" t="str">
        <f>'Translate&amp;Prices&amp;Logo'!$B$123</f>
        <v>FLUTES horizont</v>
      </c>
      <c r="E103" t="str">
        <f>'Translate&amp;Prices&amp;Logo'!$B$136</f>
        <v>Lacobel RAL 9005</v>
      </c>
      <c r="F103" t="str">
        <f>'Translate&amp;Prices&amp;Logo'!$B$136</f>
        <v>Lacobel RAL 9005</v>
      </c>
    </row>
    <row r="104" spans="1:6">
      <c r="A104" t="str">
        <f>'Translate&amp;Prices&amp;Logo'!$B$122</f>
        <v>Master  Point</v>
      </c>
      <c r="B104" t="str">
        <f>'Translate&amp;Prices&amp;Logo'!$B$137</f>
        <v>Lacobel RAL 9006</v>
      </c>
      <c r="C104" t="str">
        <f>'Translate&amp;Prices&amp;Logo'!$B$128</f>
        <v>FLUTES vertikálne</v>
      </c>
      <c r="E104" t="str">
        <f>'Translate&amp;Prices&amp;Logo'!$B$137</f>
        <v>Lacobel RAL 9006</v>
      </c>
      <c r="F104" t="str">
        <f>'Translate&amp;Prices&amp;Logo'!$B$137</f>
        <v>Lacobel RAL 9006</v>
      </c>
    </row>
    <row r="105" spans="1:6">
      <c r="A105" t="str">
        <f>'Translate&amp;Prices&amp;Logo'!$B$108</f>
        <v>Masterscreen - max rozmer 2160 x 1650 mm</v>
      </c>
      <c r="B105" t="str">
        <f>'Translate&amp;Prices&amp;Logo'!$B$138</f>
        <v>Lacobel RAL 9007</v>
      </c>
      <c r="C105" t="str">
        <f>'Translate&amp;Prices&amp;Logo'!$B$104</f>
        <v>Satinato</v>
      </c>
      <c r="E105" t="str">
        <f>'Translate&amp;Prices&amp;Logo'!$B$138</f>
        <v>Lacobel RAL 9007</v>
      </c>
      <c r="F105" t="str">
        <f>'Translate&amp;Prices&amp;Logo'!$B$138</f>
        <v>Lacobel RAL 9007</v>
      </c>
    </row>
    <row r="106" spans="1:6">
      <c r="A106" t="str">
        <f>'Translate&amp;Prices&amp;Logo'!$B$109</f>
        <v>Venus VG10</v>
      </c>
      <c r="B106" t="str">
        <f>'Translate&amp;Prices&amp;Logo'!$B$139</f>
        <v>Lacobel RAL 9010</v>
      </c>
      <c r="C106" t="str">
        <f>'Translate&amp;Prices&amp;Logo'!$B$106</f>
        <v>Satinato hnedé / Decormat Braz</v>
      </c>
      <c r="E106" t="str">
        <f>'Translate&amp;Prices&amp;Logo'!$B$139</f>
        <v>Lacobel RAL 9010</v>
      </c>
      <c r="F106" t="str">
        <f>'Translate&amp;Prices&amp;Logo'!$B$139</f>
        <v>Lacobel RAL 9010</v>
      </c>
    </row>
    <row r="107" spans="1:6">
      <c r="A107" t="str">
        <f>'Translate&amp;Prices&amp;Logo'!$B$110</f>
        <v>Stopsol bronz  - max rozmer 2250 x 1605 mm</v>
      </c>
      <c r="B107" t="str">
        <f>'Translate&amp;Prices&amp;Logo'!$B$154</f>
        <v>Matelac RAL 9003</v>
      </c>
      <c r="C107" t="str">
        <f>'Translate&amp;Prices&amp;Logo'!$B$107</f>
        <v>Satinato grafit  / Decormat grafit</v>
      </c>
      <c r="E107" t="str">
        <f>'Translate&amp;Prices&amp;Logo'!$B$154</f>
        <v>Matelac RAL 9003</v>
      </c>
      <c r="F107" t="str">
        <f>'Translate&amp;Prices&amp;Logo'!$B$154</f>
        <v>Matelac RAL 9003</v>
      </c>
    </row>
    <row r="108" spans="1:6">
      <c r="A108" t="str">
        <f>'Translate&amp;Prices&amp;Logo'!$B$113</f>
        <v>Antisol bronz</v>
      </c>
      <c r="B108" t="str">
        <f>'Translate&amp;Prices&amp;Logo'!$B$155</f>
        <v>Matelac RAL 9005</v>
      </c>
      <c r="C108" t="str">
        <f>'Translate&amp;Prices&amp;Logo'!$B$108</f>
        <v>Masterscreen - max rozmer 2160 x 1650 mm</v>
      </c>
      <c r="E108" t="str">
        <f>'Translate&amp;Prices&amp;Logo'!$B$155</f>
        <v>Matelac RAL 9005</v>
      </c>
      <c r="F108" t="str">
        <f>'Translate&amp;Prices&amp;Logo'!$B$155</f>
        <v>Matelac RAL 9005</v>
      </c>
    </row>
    <row r="109" spans="1:6">
      <c r="A109" t="str">
        <f>'Translate&amp;Prices&amp;Logo'!$B$114</f>
        <v>Antisol grafit</v>
      </c>
      <c r="B109" t="str">
        <f>'Translate&amp;Prices&amp;Logo'!$B$160</f>
        <v>Matelac zrkadlo bronz</v>
      </c>
      <c r="C109" t="str">
        <f>'Translate&amp;Prices&amp;Logo'!$B$109</f>
        <v>Venus VG10</v>
      </c>
      <c r="E109" t="str">
        <f>'Translate&amp;Prices&amp;Logo'!$B$160</f>
        <v>Matelac zrkadlo bronz</v>
      </c>
      <c r="F109" t="str">
        <f>'Translate&amp;Prices&amp;Logo'!$B$160</f>
        <v>Matelac zrkadlo bronz</v>
      </c>
    </row>
    <row r="110" spans="1:6">
      <c r="A110" t="str">
        <f>'Translate&amp;Prices&amp;Logo'!$B$115</f>
        <v>Zrkadlo</v>
      </c>
      <c r="B110" t="str">
        <f>'Translate&amp;Prices&amp;Logo'!$B$162</f>
        <v>Matelac zrkadlo grafit</v>
      </c>
      <c r="C110" t="str">
        <f>'Translate&amp;Prices&amp;Logo'!$B$110</f>
        <v>Stopsol bronz  - max rozmer 2250 x 1605 mm</v>
      </c>
      <c r="E110" t="str">
        <f>'Translate&amp;Prices&amp;Logo'!$B$162</f>
        <v>Matelac zrkadlo grafit</v>
      </c>
      <c r="F110" t="str">
        <f>'Translate&amp;Prices&amp;Logo'!$B$162</f>
        <v>Matelac zrkadlo grafit</v>
      </c>
    </row>
    <row r="111" spans="1:6">
      <c r="A111" t="str">
        <f>'Translate&amp;Prices&amp;Logo'!$B$116</f>
        <v>Zrkadlo hnedé</v>
      </c>
      <c r="B111" t="str">
        <f>'Translate&amp;Prices&amp;Logo'!$B$163</f>
        <v>Matelac zrkadlo strieb.</v>
      </c>
      <c r="C111" t="str">
        <f>'Translate&amp;Prices&amp;Logo'!$B$113</f>
        <v>Antisol bronz</v>
      </c>
      <c r="E111" t="str">
        <f>'Translate&amp;Prices&amp;Logo'!$B$163</f>
        <v>Matelac zrkadlo strieb.</v>
      </c>
      <c r="F111" t="str">
        <f>'Translate&amp;Prices&amp;Logo'!$B$163</f>
        <v>Matelac zrkadlo strieb.</v>
      </c>
    </row>
    <row r="112" spans="1:6">
      <c r="A112" t="str">
        <f>'Translate&amp;Prices&amp;Logo'!$B$117</f>
        <v>Zrkadlo grafit</v>
      </c>
      <c r="C112" t="str">
        <f>'Translate&amp;Prices&amp;Logo'!$B$114</f>
        <v>Antisol grafit</v>
      </c>
    </row>
    <row r="113" spans="1:3">
      <c r="A113" t="str">
        <f>'Translate&amp;Prices&amp;Logo'!$B$118</f>
        <v>VISIOSUN horizont</v>
      </c>
      <c r="C113" t="str">
        <f>'Translate&amp;Prices&amp;Logo'!$B$119</f>
        <v>Krizet - max rozmer 2130x1650 mm</v>
      </c>
    </row>
    <row r="114" spans="1:3">
      <c r="A114" t="str">
        <f>'Translate&amp;Prices&amp;Logo'!$B$129</f>
        <v>VISIOSUN vertikálne</v>
      </c>
      <c r="C114" t="str">
        <f>'Translate&amp;Prices&amp;Logo'!$B$120</f>
        <v>Master (Carre)</v>
      </c>
    </row>
    <row r="115" spans="1:3">
      <c r="A115" t="str">
        <f>'Translate&amp;Prices&amp;Logo'!$B$131</f>
        <v>VISIOSUN satén horizont</v>
      </c>
      <c r="C115" t="str">
        <f>'Translate&amp;Prices&amp;Logo'!$B$121</f>
        <v>Master  Ligne horizont</v>
      </c>
    </row>
    <row r="116" spans="1:3">
      <c r="A116" t="str">
        <f>'Translate&amp;Prices&amp;Logo'!$B$130</f>
        <v>VISIOSUN satén vertikálne</v>
      </c>
      <c r="C116" t="str">
        <f>'Translate&amp;Prices&amp;Logo'!$B$125</f>
        <v>Master  Ligne vertikálne</v>
      </c>
    </row>
    <row r="117" spans="1:3">
      <c r="A117" t="str">
        <f>'Translate&amp;Prices&amp;Logo'!$B$119</f>
        <v>Krizet - max rozmer 2130x1650 mm</v>
      </c>
      <c r="C117" t="str">
        <f>'Translate&amp;Prices&amp;Logo'!$B$122</f>
        <v>Master  Point</v>
      </c>
    </row>
    <row r="118" spans="1:3">
      <c r="A118" t="str">
        <f>'Translate&amp;Prices&amp;Logo'!$B$128</f>
        <v>FLUTES vertikálne</v>
      </c>
      <c r="C118" t="str">
        <f>'Translate&amp;Prices&amp;Logo'!$B$140</f>
        <v>Moru hnedá vertikálne</v>
      </c>
    </row>
    <row r="119" spans="1:3">
      <c r="A119" t="str">
        <f>'Translate&amp;Prices&amp;Logo'!$B$123</f>
        <v>FLUTES horizont</v>
      </c>
      <c r="C119" t="str">
        <f>'Translate&amp;Prices&amp;Logo'!$B$141</f>
        <v>Moru grafit vertikálne</v>
      </c>
    </row>
    <row r="120" spans="1:3">
      <c r="A120" t="str">
        <f>'Translate&amp;Prices&amp;Logo'!$B$111</f>
        <v>Lakomat</v>
      </c>
      <c r="C120" t="str">
        <f>'Translate&amp;Prices&amp;Logo'!$B$144</f>
        <v>Moru hnedá horizontálne</v>
      </c>
    </row>
    <row r="121" spans="1:3">
      <c r="A121" t="str">
        <f>'Translate&amp;Prices&amp;Logo'!$B$126</f>
        <v>Lacobel RAL 1013</v>
      </c>
      <c r="C121" t="str">
        <f>'Translate&amp;Prices&amp;Logo'!$B$145</f>
        <v>Moru grafit horizontálne</v>
      </c>
    </row>
    <row r="122" spans="1:3">
      <c r="A122" t="str">
        <f>'Translate&amp;Prices&amp;Logo'!$B$127</f>
        <v>Lacobel RAL 1015</v>
      </c>
    </row>
    <row r="123" spans="1:3">
      <c r="A123" t="str">
        <f>'Translate&amp;Prices&amp;Logo'!$B$133</f>
        <v>Lacobel RAL 7035</v>
      </c>
    </row>
    <row r="124" spans="1:3">
      <c r="A124" t="str">
        <f>'Translate&amp;Prices&amp;Logo'!$B$135</f>
        <v>Lacobel RAL 9003</v>
      </c>
    </row>
    <row r="125" spans="1:3">
      <c r="A125" t="str">
        <f>'Translate&amp;Prices&amp;Logo'!$B$136</f>
        <v>Lacobel RAL 9005</v>
      </c>
    </row>
    <row r="126" spans="1:3">
      <c r="A126" t="str">
        <f>'Translate&amp;Prices&amp;Logo'!$B$137</f>
        <v>Lacobel RAL 9006</v>
      </c>
    </row>
    <row r="127" spans="1:3">
      <c r="A127" t="str">
        <f>'Translate&amp;Prices&amp;Logo'!$B$138</f>
        <v>Lacobel RAL 9007</v>
      </c>
    </row>
    <row r="128" spans="1:3">
      <c r="A128" t="str">
        <f>'Translate&amp;Prices&amp;Logo'!$B$139</f>
        <v>Lacobel RAL 9010</v>
      </c>
    </row>
    <row r="129" spans="1:1">
      <c r="A129" t="str">
        <f>'Translate&amp;Prices&amp;Logo'!$B$154</f>
        <v>Matelac RAL 9003</v>
      </c>
    </row>
    <row r="130" spans="1:1">
      <c r="A130" t="str">
        <f>'Translate&amp;Prices&amp;Logo'!$B$155</f>
        <v>Matelac RAL 9005</v>
      </c>
    </row>
    <row r="131" spans="1:1">
      <c r="A131" t="str">
        <f>'Translate&amp;Prices&amp;Logo'!$B$160</f>
        <v>Matelac zrkadlo bronz</v>
      </c>
    </row>
    <row r="132" spans="1:1">
      <c r="A132" t="str">
        <f>'Translate&amp;Prices&amp;Logo'!$B$162</f>
        <v>Matelac zrkadlo grafit</v>
      </c>
    </row>
    <row r="133" spans="1:1">
      <c r="A133" t="str">
        <f>'Translate&amp;Prices&amp;Logo'!$B$163</f>
        <v>Matelac zrkadlo strieb.</v>
      </c>
    </row>
    <row r="134" spans="1:1">
      <c r="A134" t="str">
        <f>'Translate&amp;Prices&amp;Logo'!$B$161</f>
        <v>Optiwhite</v>
      </c>
    </row>
    <row r="135" spans="1:1">
      <c r="A135" t="str">
        <f>'Translate&amp;Prices&amp;Logo'!$B$140</f>
        <v>Moru hnedá vertikálne</v>
      </c>
    </row>
    <row r="136" spans="1:1">
      <c r="A136" t="str">
        <f>'Translate&amp;Prices&amp;Logo'!$B$141</f>
        <v>Moru grafit vertikálne</v>
      </c>
    </row>
    <row r="137" spans="1:1">
      <c r="A137" t="str">
        <f>'Translate&amp;Prices&amp;Logo'!$B$144</f>
        <v>Moru hnedá horizontálne</v>
      </c>
    </row>
    <row r="138" spans="1:1">
      <c r="A138" t="str">
        <f>'Translate&amp;Prices&amp;Logo'!$B$145</f>
        <v>Moru grafit horizontálne</v>
      </c>
    </row>
    <row r="204" spans="1:2">
      <c r="A204">
        <v>1</v>
      </c>
      <c r="B204" t="s">
        <v>2178</v>
      </c>
    </row>
    <row r="205" spans="1:2">
      <c r="A205">
        <v>2</v>
      </c>
      <c r="B205" t="s">
        <v>2179</v>
      </c>
    </row>
    <row r="206" spans="1:2">
      <c r="A206">
        <v>3</v>
      </c>
      <c r="B206" t="s">
        <v>2180</v>
      </c>
    </row>
    <row r="207" spans="1:2">
      <c r="A207">
        <v>4</v>
      </c>
      <c r="B207" t="s">
        <v>2181</v>
      </c>
    </row>
    <row r="208" spans="1:2">
      <c r="A208">
        <v>5</v>
      </c>
      <c r="B208" t="s">
        <v>2179</v>
      </c>
    </row>
    <row r="209" spans="1:2">
      <c r="A209">
        <v>6</v>
      </c>
      <c r="B209" t="s">
        <v>2179</v>
      </c>
    </row>
  </sheetData>
  <phoneticPr fontId="15" type="noConversion"/>
  <conditionalFormatting sqref="A94 A98:A102">
    <cfRule type="expression" dxfId="484" priority="3" stopIfTrue="1">
      <formula>AND(COUNTIF($Q$68:$Q$65536, A94)+COUNTIF($Q$2:$Q$2, A94)+COUNTIF($Q$4:$Q$4, A94)+COUNTIF($Q$6:$Q$54, A94)&gt;1,NOT(ISBLANK(A94)))</formula>
    </cfRule>
  </conditionalFormatting>
  <conditionalFormatting sqref="A96 A104:A109 A111:A112 A117:A138 C118:C121">
    <cfRule type="expression" dxfId="483" priority="21" stopIfTrue="1">
      <formula>AND(COUNTIF($Q$68:$Q$65536, A96)+COUNTIF($Q$2:$Q$2, A96)+COUNTIF($Q$4:$Q$4, A96)+COUNTIF($Q$6:$Q$54, A96)&gt;1,NOT(ISBLANK(A96)))</formula>
    </cfRule>
  </conditionalFormatting>
  <conditionalFormatting sqref="B94">
    <cfRule type="expression" dxfId="482" priority="2" stopIfTrue="1">
      <formula>AND(COUNTIF($R$2:$R$2, B94)+COUNTIF($R$63:$R$65536, B94)+COUNTIF($R$49:$R$61, B94)&gt;1,NOT(ISBLANK(B94)))</formula>
    </cfRule>
  </conditionalFormatting>
  <conditionalFormatting sqref="B96:B98">
    <cfRule type="duplicateValues" dxfId="481" priority="14"/>
  </conditionalFormatting>
  <conditionalFormatting sqref="B100">
    <cfRule type="duplicateValues" dxfId="480" priority="563"/>
  </conditionalFormatting>
  <conditionalFormatting sqref="B101">
    <cfRule type="duplicateValues" dxfId="479" priority="13"/>
  </conditionalFormatting>
  <conditionalFormatting sqref="B102:B109 B121:B125">
    <cfRule type="duplicateValues" dxfId="478" priority="20"/>
  </conditionalFormatting>
  <conditionalFormatting sqref="B110:B111 B129:B131 B126">
    <cfRule type="duplicateValues" dxfId="477" priority="15"/>
  </conditionalFormatting>
  <conditionalFormatting sqref="B113:B115">
    <cfRule type="duplicateValues" dxfId="476" priority="12"/>
  </conditionalFormatting>
  <conditionalFormatting sqref="C96">
    <cfRule type="duplicateValues" dxfId="475" priority="11"/>
  </conditionalFormatting>
  <conditionalFormatting sqref="C103 C98:C99">
    <cfRule type="duplicateValues" dxfId="474" priority="25"/>
  </conditionalFormatting>
  <conditionalFormatting sqref="C105:C110">
    <cfRule type="duplicateValues" dxfId="473" priority="10"/>
  </conditionalFormatting>
  <conditionalFormatting sqref="C111:C112">
    <cfRule type="duplicateValues" dxfId="472" priority="9"/>
  </conditionalFormatting>
  <conditionalFormatting sqref="C113:C117">
    <cfRule type="duplicateValues" dxfId="471" priority="570"/>
  </conditionalFormatting>
  <conditionalFormatting sqref="C123:C139">
    <cfRule type="duplicateValues" dxfId="470" priority="24"/>
  </conditionalFormatting>
  <conditionalFormatting sqref="D96">
    <cfRule type="duplicateValues" dxfId="469" priority="8"/>
  </conditionalFormatting>
  <conditionalFormatting sqref="E96:E98">
    <cfRule type="duplicateValues" dxfId="468" priority="7"/>
  </conditionalFormatting>
  <conditionalFormatting sqref="E99:E106 E118:E122">
    <cfRule type="duplicateValues" dxfId="467" priority="22"/>
  </conditionalFormatting>
  <conditionalFormatting sqref="E107:E108 E123:E124">
    <cfRule type="duplicateValues" dxfId="466" priority="16"/>
  </conditionalFormatting>
  <conditionalFormatting sqref="E109:E111">
    <cfRule type="duplicateValues" dxfId="465" priority="6"/>
  </conditionalFormatting>
  <conditionalFormatting sqref="F96:F98">
    <cfRule type="duplicateValues" dxfId="464" priority="5"/>
  </conditionalFormatting>
  <conditionalFormatting sqref="F109:F111">
    <cfRule type="duplicateValues" dxfId="463" priority="4"/>
  </conditionalFormatting>
  <conditionalFormatting sqref="F113:F122 F99:F106">
    <cfRule type="duplicateValues" dxfId="462" priority="23"/>
  </conditionalFormatting>
  <conditionalFormatting sqref="F123:F124 F107:F108">
    <cfRule type="duplicateValues" dxfId="461" priority="17"/>
  </conditionalFormatting>
  <conditionalFormatting sqref="BQ2:BR2">
    <cfRule type="duplicateValues" dxfId="460"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zoomScaleNormal="10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"&amp;1</f>
        <v>Rámček  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IFERROR(IF(kombinace_1!FC2=TRUE,'Translate&amp;Prices&amp;Logo'!B654,IF(VLOOKUP(H8,kombinace_1!$A:$E,5,0)=3,'Translate&amp;Prices&amp;Logo'!B642,"")),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Rámček  1</v>
      </c>
      <c r="C5" s="634"/>
      <c r="D5" s="634"/>
      <c r="E5" s="106"/>
      <c r="F5" s="634" t="str">
        <f>'Translate&amp;Prices&amp;Logo'!$B$169&amp;" "&amp;" "&amp;2</f>
        <v>Rámček  2</v>
      </c>
      <c r="G5" s="634"/>
      <c r="H5" s="634"/>
      <c r="I5" s="9"/>
      <c r="J5" s="634" t="str">
        <f>'Translate&amp;Prices&amp;Logo'!$B$169&amp;" "&amp;" "&amp;3</f>
        <v>Rámček  3</v>
      </c>
      <c r="K5" s="634"/>
      <c r="L5" s="634"/>
      <c r="M5" s="9"/>
      <c r="N5" s="634" t="str">
        <f>'Translate&amp;Prices&amp;Logo'!$B$169&amp;" "&amp;" "&amp;4</f>
        <v>Rámček  4</v>
      </c>
      <c r="O5" s="634"/>
      <c r="P5" s="634"/>
      <c r="Q5" s="9"/>
      <c r="R5" s="634" t="str">
        <f>'Translate&amp;Prices&amp;Logo'!$B$169&amp;" "&amp;" "&amp;5</f>
        <v>Rámček  5</v>
      </c>
      <c r="S5" s="634"/>
      <c r="T5" s="634"/>
      <c r="U5" s="9"/>
      <c r="V5" s="634" t="str">
        <f>'Translate&amp;Prices&amp;Logo'!$B$169&amp;" "&amp;" "&amp;6</f>
        <v>Rámček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Kombinácia 2 profilov</v>
      </c>
      <c r="C7" s="667"/>
      <c r="D7" s="667"/>
      <c r="E7" s="667"/>
      <c r="F7" s="667"/>
      <c r="G7" s="616" t="str">
        <f>IF(kombinace_1!FC2=TRUE,AB4,"")</f>
        <v/>
      </c>
      <c r="H7" s="616"/>
      <c r="I7" s="616"/>
      <c r="J7" s="616"/>
      <c r="K7" s="616"/>
      <c r="L7" s="616"/>
      <c r="M7" s="616"/>
      <c r="N7" s="616"/>
      <c r="O7" s="616"/>
      <c r="P7" s="616"/>
      <c r="Q7" s="617"/>
      <c r="R7" s="231"/>
      <c r="S7" s="602" t="str">
        <f>'Translate&amp;Prices&amp;Logo'!$B$572</f>
        <v>Upozornenie: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VLOOKUP(H8,kombinace_1!$A3:$B100,2,0)</f>
        <v>#N/A</v>
      </c>
      <c r="AV7" s="140" t="e">
        <f>IF(AU7=2,"Široký",IF(AU7=1,"Úzký",IF(AU7=3,"kombo")))</f>
        <v>#N/A</v>
      </c>
    </row>
    <row r="8" spans="1:65" ht="45.6" customHeight="1">
      <c r="A8" s="61"/>
      <c r="B8" s="223" t="str">
        <f>'Translate&amp;Prices&amp;Logo'!$B$653</f>
        <v>Výplň rámčeka sieťka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IF(AU10&gt;0,'Translate&amp;Prices&amp;Logo'!B303,IF(H8=kombinace_1!A59,'Translate&amp;Prices&amp;Logo'!B580,0))</f>
        <v>0</v>
      </c>
      <c r="T8" s="654"/>
      <c r="U8" s="654"/>
      <c r="V8" s="654"/>
      <c r="W8" s="654"/>
      <c r="X8" s="654"/>
      <c r="Y8" s="655"/>
      <c r="Z8" s="80"/>
      <c r="AA8" s="76"/>
      <c r="AB8" s="9"/>
      <c r="AC8" s="584" t="str">
        <f>'Translate&amp;Prices&amp;Logo'!$B$242</f>
        <v>Vzdialenosť od ľavého kraja</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IFERROR(IF(AND(VLOOKUP(H8,kombinace_1!$A:$D,4,0)=1,kombinace_1!FC2=FALSE),'Translate&amp;Prices&amp;Logo'!$B$543,0),0)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IFERROR((VLOOKUP(H12,kombinace_1!$DP$2:$DQ$3,2,0)),"")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80</v>
      </c>
      <c r="AE10" s="592" t="str">
        <f>'Translate&amp;Prices&amp;Logo'!$B$637</f>
        <v>Vzdialenosť od horného okraja</v>
      </c>
      <c r="AF10" s="9"/>
      <c r="AG10" s="9"/>
      <c r="AH10" s="9"/>
      <c r="AI10" s="60"/>
      <c r="AJ10" s="61"/>
      <c r="AK10" s="9"/>
      <c r="AL10" s="9"/>
      <c r="AM10" s="9"/>
      <c r="AN10" s="9"/>
      <c r="AO10" s="9"/>
      <c r="AP10" s="77"/>
      <c r="AQ10" s="314"/>
      <c r="AR10" s="9"/>
      <c r="AS10" s="9"/>
      <c r="AT10" s="139" t="s">
        <v>1196</v>
      </c>
      <c r="AU10" s="140">
        <f>IFERROR(VLOOKUP(H9,kombinace_1!$BY$13:$BZ$15,2,0),0)</f>
        <v>0</v>
      </c>
      <c r="AV10" s="140"/>
    </row>
    <row r="11" spans="1:65" ht="18" customHeight="1">
      <c r="A11" s="61"/>
      <c r="B11" s="642" t="str">
        <f>('Translate&amp;Prices&amp;Logo'!$B$543)&amp;" "&amp;"("&amp;'Translate&amp;Prices&amp;Logo'!$B$174&amp;")"</f>
        <v>Deliace lišty (Počet kusov)</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IFERROR(IF(kombinace_1!$H$1=TRUE,BA2+AY3,0),0)</f>
        <v>0</v>
      </c>
      <c r="AU11" s="146"/>
      <c r="AV11" s="140"/>
    </row>
    <row r="12" spans="1:65" ht="18" customHeight="1">
      <c r="A12" s="61"/>
      <c r="B12" s="585" t="str">
        <f>'Translate&amp;Prices&amp;Logo'!$B$258</f>
        <v>Typ kovania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kovania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 kovania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IF(H15=kombinace_1!AB40,'Translate&amp;Prices&amp;Logo'!$B$224,IF(H15=kombinace_1!AB41,'Translate&amp;Prices&amp;Logo'!$B$224,IF(H12='závěsy dle výklopu'!BQ2,'Translate&amp;Prices&amp;Logo'!$B$222,'Translate&amp;Prices&amp;Logo'!$B$218)))</f>
        <v>Výber pozície rámčeku</v>
      </c>
      <c r="C16" s="641"/>
      <c r="D16" s="641"/>
      <c r="E16" s="641"/>
      <c r="F16" s="639"/>
      <c r="G16" s="639"/>
      <c r="H16" s="639"/>
      <c r="I16" s="639"/>
      <c r="J16" s="659" t="str">
        <f>IF(OR(H15=kombinace_1!AB40,H15=kombinace_1!AB7,H15=kombinace_1!AB15,H15=kombinace_1!AB20,H15=kombinace_1!AB21,H15=kombinace_1!AB22),'Translate&amp;Prices&amp;Logo'!$B$226,IF(H15=kombinace_1!AB41,'Translate&amp;Prices&amp;Logo'!$B$226,'Translate&amp;Prices&amp;Logo'!$B$232))</f>
        <v>Vyhotovenie druhého dvierka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IF(H12='Translate&amp;Prices&amp;Logo'!B551,'Translate&amp;Prices&amp;Logo'!B238,IF(H15=kombinace_1!AB8,'Translate&amp;Prices&amp;Logo'!B284,0))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85">
        <f>IFERROR(IF(VLOOKUP(H15,kombinace_1!CD:CE,2,0)=1,'Translate&amp;Prices&amp;Logo'!$B$547,0),0)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IFERROR(IF(H12='Translate&amp;Prices&amp;Logo'!B551,'Translate&amp;Prices&amp;Logo'!$B$223,IF(VLOOKUP(H15,kombinace_1!CD:CE,2,0)=1,'Translate&amp;Prices&amp;Logo'!$B$223,)),0)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50</v>
      </c>
      <c r="AC19" s="620"/>
      <c r="AD19" s="646"/>
      <c r="AE19" s="9"/>
      <c r="AF19" s="9"/>
      <c r="AG19" s="9"/>
      <c r="AH19" s="9"/>
      <c r="AI19" s="157"/>
      <c r="AJ19" s="61"/>
      <c r="AK19" s="9"/>
      <c r="AL19" s="627" t="str">
        <f>'Translate&amp;Prices&amp;Logo'!$B$636</f>
        <v>Vzdialenosť od spodného okraja</v>
      </c>
      <c r="AM19" s="629"/>
      <c r="AN19" s="620">
        <v>0</v>
      </c>
      <c r="AO19" s="620"/>
      <c r="AP19" s="76"/>
      <c r="AQ19" s="314"/>
      <c r="AR19" s="675" t="str">
        <f>'Translate&amp;Prices&amp;Logo'!$B$176</f>
        <v>Výška</v>
      </c>
      <c r="AS19" s="9"/>
      <c r="AT19" s="146"/>
      <c r="AU19" s="138">
        <f>IFERROR(IF(H12='závěsy dle výklopu'!BR2,VLOOKUP(H15,kombinace_1!$CD$3:$CF$18,3,0),IF(H12='závěsy dle výklopu'!BQ2,1,0)),0)</f>
        <v>0</v>
      </c>
      <c r="AV19" s="140">
        <f>IFERROR(VLOOKUP(H15,kombinace_1!$CD:$CF,3,0),0)</f>
        <v>0</v>
      </c>
    </row>
    <row r="20" spans="1:52" ht="18" customHeight="1">
      <c r="A20" s="61"/>
      <c r="B20" s="644">
        <f>IF(H13&lt;&gt;"Salice",(IFERROR('Translate&amp;Prices&amp;Logo'!$B$242&amp;" "&amp;(VLOOKUP(H17,kombinace_1!$BY$32:$CA$35,2,0)),0)),0)</f>
        <v>0</v>
      </c>
      <c r="C20" s="583"/>
      <c r="D20" s="583"/>
      <c r="E20" s="583"/>
      <c r="F20" s="638">
        <v>100</v>
      </c>
      <c r="G20" s="638"/>
      <c r="H20" s="638"/>
      <c r="I20" s="638"/>
      <c r="J20" s="583">
        <f>IFERROR('Translate&amp;Prices&amp;Logo'!$B$242&amp;" "&amp;(VLOOKUP(H17,kombinace_1!$BY$32:$CA$35,3,0)),0)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IF(kombinace_1!FC2=FALSE,'Translate&amp;Prices&amp;Logo'!$B$173," ")</f>
        <v>Typ upravy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Už nemeniť po tom čo vyberiete typ skla/sieťky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VLOOKUP(H17,kombinace_1!$BY$3:$BZ$6,2,0)</f>
        <v>#N/A</v>
      </c>
      <c r="AV23" s="140"/>
    </row>
    <row r="24" spans="1:52" ht="18" customHeight="1">
      <c r="A24" s="61"/>
      <c r="B24" s="614" t="str">
        <f>'Translate&amp;Prices&amp;Logo'!$B$562</f>
        <v>Typ fólie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Vzdialenosť od ľavého kraja</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skla/sieťky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VLOOKUP(H27,kombinace_1!$BY3:$BZ6,2,0)</f>
        <v>#N/A</v>
      </c>
      <c r="AV25" s="140"/>
    </row>
    <row r="26" spans="1:52" ht="18" customHeight="1">
      <c r="A26" s="61"/>
      <c r="B26" s="585" t="str">
        <f>'Translate&amp;Prices&amp;Logo'!$B$549</f>
        <v>Rozteč úchytiek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Umiestnenie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kusov</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Dodať vrátane uvedeného kovania -&gt; vyberte zo zoznamu: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VLOOKUP(H14,kombinace_1!$DN$7:$DO$24,2,0)</f>
        <v>#N/A</v>
      </c>
      <c r="AB29" s="626">
        <f>IF(kombinace_1!FC2=TRUE,AB4,IF(H12='závěsy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rámčekov celkom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Šírka</v>
      </c>
      <c r="AG30" s="625"/>
      <c r="AH30" s="625"/>
      <c r="AI30" s="618"/>
      <c r="AJ30" s="618"/>
      <c r="AK30" s="618"/>
      <c r="AL30" s="9"/>
      <c r="AM30" s="9"/>
      <c r="AN30" s="9"/>
      <c r="AO30" s="9"/>
      <c r="AP30" s="9"/>
      <c r="AQ30" s="9"/>
      <c r="AR30" s="9"/>
      <c r="AS30" s="9"/>
      <c r="AT30" s="146"/>
      <c r="AU30" s="138" t="e">
        <f>HLOOKUP("_Úzký_dolny_K12",kombinace_1!CV2:CW19,3,FALSE)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Súhrn</v>
      </c>
      <c r="AP31" s="674"/>
      <c r="AQ31" s="674"/>
      <c r="AR31" s="674"/>
      <c r="AS31" s="9"/>
      <c r="AT31" s="146"/>
      <c r="AU31" s="138" t="e">
        <f>AD44</f>
        <v>#N/A</v>
      </c>
    </row>
    <row r="32" spans="1:52" ht="17.25" customHeight="1">
      <c r="A32" s="61"/>
      <c r="B32" s="635" t="str">
        <f>'Translate&amp;Prices&amp;Logo'!$B$171</f>
        <v>Uvedené ceny sú bez DPH a nezahrňujú cenu požadovaného kovania!</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Rámy bez skla sa dodávajú v demontovanom stave.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IF(kombinace_1!V1=2,((AR14/1000)*(AI30/1000))*'Translate&amp;Prices&amp;Logo'!C94,0)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IF(kombinace_1!$V$1=3,IFERROR(((VLOOKUP(H24,'Translate&amp;Prices&amp;Logo'!B91:C93,2,0))*(AR14/1000)),0),0)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IF(kombinace_1!FC2=TRUE,_profily_síťka,IF(kombinace_1!H1=TRUE,_kombinovane_profily,_vše_profily))</f>
        <v>BRW (elox.) - maximálna odporúčaná odporúčaná dĺžka profilu 2500 mm</v>
      </c>
      <c r="L36" s="157" t="str">
        <f t="array" ref="L36:M36">IF(kombinace_1!H1=TRUE,'závěsy dle výklopu'!$BQ$2:$BR$2,
IF(H8=kombinace_1!A36,'závěsy dle výklopu'!$BQ$2,IF(H8=kombinace_1!A37,'závěsy dle výklopu'!$BQ$2,IF(H8=kombinace_1!A60,'závěsy dle výklopu'!$BQ$2,IF(H8=kombinace_1!A61,'závěsy dle výklopu'!$BQ$2,IF(H8=kombinace_1!A62,'závěsy dle výklopu'!$BQ$2,IF(H8=kombinace_1!A63,'závěsy dle výklopu'!$BQ$2,'závěsy dle výklopu'!$BQ$2:$BR$2)))))))</f>
        <v>Závesy</v>
      </c>
      <c r="M36" s="157" t="str">
        <v>Výklopy</v>
      </c>
      <c r="P36" s="157" t="str" cm="1">
        <f t="array" ref="P36:P38">IF(H13=kombinace_1!BQ11,kombinace_1!$DN$2,kombinace_1!$DN$2:$DN$4)</f>
        <v>Naložený</v>
      </c>
      <c r="T36" s="157">
        <f t="array" aca="1" ref="T36:T44" ca="1">IF(H13=kombinace_1!BQ11,
  kombinace_1!$FA$2:$FA$9,
  IF(AND(OR(H8=kombinace_1!A36,H8=kombinace_1!A37),H13='závěsy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55"/>
      <c r="AX36" s="255"/>
      <c r="AY36" s="255"/>
    </row>
    <row r="37" spans="1:58" s="157" customFormat="1" ht="15" hidden="1" customHeight="1">
      <c r="A37" s="140"/>
      <c r="B37" s="157" t="str">
        <v>BRW biela matt RAL 9003 - maximálna odporúčaná dĺžka profilu 2500 mm</v>
      </c>
      <c r="P37" s="157" t="e">
        <v>#N/A</v>
      </c>
      <c r="T37" s="157">
        <f ca="1"/>
        <v>0</v>
      </c>
      <c r="W37" s="157" t="str" cm="1">
        <f t="array" ref="W37:W38">IF(Hlavní!$V$39=3,"",'Translate&amp;Prices&amp;Logo'!B556:B557)</f>
        <v>Áno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biela lesk RAL 9003 - maximálna odporúčaná dĺžka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Nie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brúsené - maximálna odporúčaná dĺžka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čierna matt - maximálna odporúčaná dĺžka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čierna brúsená - maximálna odporúčaná dĺžka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svetlá nerez (INOX ACIER gratta)- maximálna odporúčaná dĺžka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maximálna odporúčaná dĺžka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maximálna odporúčaná dĺžka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maximálna odporúčaná dĺžka profilu 2500 mm</v>
      </c>
      <c r="M45" s="157" t="s">
        <v>2500</v>
      </c>
      <c r="N45" s="157" t="s">
        <v>1039</v>
      </c>
      <c r="AS45" s="133"/>
      <c r="AW45" s="255"/>
      <c r="AX45" s="255"/>
      <c r="AY45" s="255"/>
    </row>
    <row r="46" spans="1:58" s="157" customFormat="1" ht="14.85" hidden="1" customHeight="1">
      <c r="A46" s="140"/>
      <c r="B46" s="157" t="str">
        <v>BRW hnědá - maximálna odporúčaná dĺžka profilu 2500 mm</v>
      </c>
      <c r="M46" s="157" t="s">
        <v>4323</v>
      </c>
    </row>
    <row r="47" spans="1:58" s="157" customFormat="1" ht="14.85" hidden="1" customHeight="1">
      <c r="A47" s="140"/>
      <c r="B47" s="157" t="str">
        <v>BRW tmavá nerez brúsená (INOX LIJA) - maximálna odporúčaná dĺžka profilu 2500 mm</v>
      </c>
      <c r="M47" s="157" t="s">
        <v>4324</v>
      </c>
      <c r="T47" s="157" t="str">
        <f>CONCATENATE(H13,"_",VLOOKUP(kombinace_1!H1,kombinace_1!$J$14:$K$15,2,0))</f>
        <v>_2</v>
      </c>
      <c r="AD47" s="157" t="s">
        <v>4322</v>
      </c>
      <c r="AI47" s="112"/>
      <c r="AJ47" s="277"/>
      <c r="AN47" s="670"/>
      <c r="AO47" s="670"/>
      <c r="AP47" s="670"/>
      <c r="AQ47" s="670"/>
    </row>
    <row r="48" spans="1:58" s="157" customFormat="1" ht="14.85" hidden="1" customHeight="1">
      <c r="A48" s="140"/>
      <c r="B48" s="157" t="str">
        <v>BRW kašmír - maximálna odporúčaná dĺžka profilu 2500 mm</v>
      </c>
      <c r="T48" s="157" t="e">
        <f>VLOOKUP(AD42,kombinace_1!ER1:ES120,2,0)</f>
        <v>#N/A</v>
      </c>
      <c r="AS48"/>
      <c r="AT48"/>
    </row>
    <row r="49" spans="1:46" s="157" customFormat="1" ht="14.85" hidden="1" customHeight="1">
      <c r="A49" s="140"/>
      <c r="B49" s="157" t="str">
        <v>BRW zlatá - maximálna odporúčaná dĺžka profilu 2500 mm</v>
      </c>
      <c r="AS49"/>
      <c r="AT49"/>
    </row>
    <row r="50" spans="1:46" s="157" customFormat="1" ht="14.85" hidden="1" customHeight="1">
      <c r="A50" s="140"/>
      <c r="B50" s="157" t="str">
        <v>BRW zlatá brúsená - maximálna odporúčaná dĺžka profilu 2500 mm</v>
      </c>
      <c r="AS50"/>
      <c r="AT50"/>
    </row>
    <row r="51" spans="1:46" s="157" customFormat="1" ht="14.85" hidden="1" customHeight="1">
      <c r="A51" s="140"/>
      <c r="B51" s="157" t="str">
        <v>Corleone (elox.) - maximálna odporúčaná dĺžka profilu 1500 mm</v>
      </c>
      <c r="AS51"/>
      <c r="AT51"/>
    </row>
    <row r="52" spans="1:46" s="157" customFormat="1" ht="14.85" hidden="1" customHeight="1">
      <c r="A52" s="140"/>
      <c r="B52" s="157" t="str">
        <v>Corleone čierne mat - maximálna odporúčaná dĺžka profilu 1500 mm</v>
      </c>
      <c r="AS52"/>
      <c r="AT52"/>
    </row>
    <row r="53" spans="1:46" s="157" customFormat="1" ht="14.85" hidden="1" customHeight="1">
      <c r="A53" s="140"/>
      <c r="B53" s="157" t="str">
        <v>ASTI čierna mat - maximálna odporúčaná dĺžka profilu 2150</v>
      </c>
      <c r="AS53"/>
      <c r="AT53"/>
    </row>
    <row r="54" spans="1:46" s="157" customFormat="1" ht="14.85" hidden="1" customHeight="1">
      <c r="A54" s="140"/>
      <c r="B54" s="157" t="str">
        <v>ASTI antracit RAL 7021 mat - maximálna odporúčaná dĺžka profilu 2500 mm</v>
      </c>
      <c r="K54" s="157" t="str">
        <f t="array" ref="K54:K58">IF(OR($H$15=kombinace_1!AB40,$H$15=kombinace_1!AB7,$H$15=kombinace_1!AB15,$H$15=kombinace_1!AB20,$H$15=kombinace_1!AB21,$H$15=kombinace_1!AB22),'Translate&amp;Prices&amp;Logo'!$B$229:$B$231,IF($H$15=kombinace_1!AB41,'Translate&amp;Prices&amp;Logo'!$B$229:$B$231,'Translate&amp;Prices&amp;Logo'!$B$233:$B$237))</f>
        <v>Úzky ALU rámček</v>
      </c>
      <c r="T54" s="157" t="str">
        <f t="array" ref="T54:T56">kombinace_1!$EN$3:$EN$5</f>
        <v>Bez úprav</v>
      </c>
      <c r="U54" s="157">
        <v>1</v>
      </c>
      <c r="X54" s="157" t="str">
        <f t="array" ref="X54:X56">kombinace_1!$X$3:$X$5</f>
        <v>transparentné</v>
      </c>
      <c r="AD54" s="157" t="e">
        <f t="array" aca="1" ref="AD54:AD96" ca="1">IF(kombinace_1!FC2=FALSE,
INDIRECT(kombinace_1!S1),
IF(kombinace_1!FC2=TRUE,INDIRECT(VLOOKUP(Ram_1!H8,'závěsy dle výklopu'!A81:B90,2,0)),0))</f>
        <v>#N/A</v>
      </c>
      <c r="AS54"/>
      <c r="AT54"/>
    </row>
    <row r="55" spans="1:46" s="157" customFormat="1" ht="14.85" hidden="1" customHeight="1">
      <c r="A55" s="140"/>
      <c r="B55" s="157" t="str">
        <v>Imola (elox.) - maximálna odporúčaná dĺžka profilu 2500 mm</v>
      </c>
      <c r="K55" s="157" t="str">
        <v>Široký ALU rámček</v>
      </c>
      <c r="T55" s="157" t="str">
        <v>Kalené (termín dodania 4 týždne)</v>
      </c>
      <c r="U55" s="157">
        <v>2</v>
      </c>
      <c r="X55" s="157" t="str">
        <v>biela</v>
      </c>
      <c r="AD55" s="157" t="e">
        <f ca="1"/>
        <v>#N/A</v>
      </c>
      <c r="AS55"/>
      <c r="AT55"/>
    </row>
    <row r="56" spans="1:46" s="157" customFormat="1" ht="14.85" hidden="1" customHeight="1">
      <c r="A56" s="140"/>
      <c r="B56" s="157" t="str">
        <v>Imola čierna mat - maximálna odporúčaná dĺžka profilu 2500 mm</v>
      </c>
      <c r="K56" s="157" t="str">
        <v>MDF hrúbky 16 mm</v>
      </c>
      <c r="T56" s="157" t="str">
        <v>Folie</v>
      </c>
      <c r="U56" s="157">
        <v>3</v>
      </c>
      <c r="X56" s="157" t="str">
        <v>čierna</v>
      </c>
      <c r="AD56" s="157" t="e">
        <f ca="1"/>
        <v>#N/A</v>
      </c>
    </row>
    <row r="57" spans="1:46" s="157" customFormat="1" ht="14.85" hidden="1" customHeight="1">
      <c r="A57" s="140"/>
      <c r="B57" s="157" t="str">
        <v>Imola biela matt RAL 9003 - maximálna odporúčaná dĺžka profilu 2500 mm</v>
      </c>
      <c r="K57" s="157" t="str">
        <v>MDF hrúbky 18 mm</v>
      </c>
      <c r="AD57" s="157" t="e">
        <f ca="1"/>
        <v>#N/A</v>
      </c>
    </row>
    <row r="58" spans="1:46" s="157" customFormat="1" ht="14.85" hidden="1" customHeight="1">
      <c r="A58" s="140"/>
      <c r="B58" s="157" t="str">
        <v>Imola zlatá - maximálna odporúčaná dĺžka profilu 2150 mm</v>
      </c>
      <c r="K58" s="157" t="str">
        <v>DTDL hrúbky 18 mm</v>
      </c>
      <c r="AD58" s="157" t="e">
        <f ca="1"/>
        <v>#N/A</v>
      </c>
    </row>
    <row r="59" spans="1:46" s="157" customFormat="1" ht="14.85" hidden="1" customHeight="1">
      <c r="A59" s="140"/>
      <c r="B59" s="157" t="str">
        <v>Modena (elox.) - maximálna odporúčaná dĺžka profilu 2500 mm</v>
      </c>
      <c r="T59" s="157">
        <f>IFERROR(VLOOKUP($H$21,$T$54:$U$56,2,0),0)</f>
        <v>0</v>
      </c>
      <c r="AD59" s="157" t="e">
        <f ca="1"/>
        <v>#N/A</v>
      </c>
    </row>
    <row r="60" spans="1:46" s="157" customFormat="1" ht="14.85" hidden="1" customHeight="1">
      <c r="A60" s="140"/>
      <c r="B60" s="157" t="str">
        <v>Modena čierna matt - maximálna odporúčaná dĺžka profilu 2500 mm</v>
      </c>
      <c r="K60" s="157" t="b">
        <f>K56=K61</f>
        <v>0</v>
      </c>
      <c r="AD60" s="157" t="e">
        <f ca="1"/>
        <v>#N/A</v>
      </c>
    </row>
    <row r="61" spans="1:46" s="157" customFormat="1" ht="14.85" hidden="1" customHeight="1">
      <c r="A61" s="140"/>
      <c r="B61" s="157" t="str">
        <v>Modena čierna brúsená - maximálna odporúčaná dĺžka profilu 2500 mm</v>
      </c>
      <c r="H61" s="157" t="str">
        <f>'Translate&amp;Prices&amp;Logo'!$B$186</f>
        <v>Spodné dvierko</v>
      </c>
      <c r="K61" s="157" t="str">
        <f>'Translate&amp;Prices&amp;Logo'!$B$231</f>
        <v>2 Kusy (obe strany)</v>
      </c>
      <c r="AD61" s="157" t="e">
        <f ca="1"/>
        <v>#N/A</v>
      </c>
    </row>
    <row r="62" spans="1:46" s="157" customFormat="1" ht="14.85" hidden="1" customHeight="1">
      <c r="A62" s="140"/>
      <c r="B62" s="157" t="str">
        <v>Modena tmavá nerez brúsená LIJA - maximálna odporúčaná dĺžka profilu 2500 mm</v>
      </c>
      <c r="AD62" s="157" t="e">
        <f ca="1"/>
        <v>#N/A</v>
      </c>
    </row>
    <row r="63" spans="1:46" s="157" customFormat="1" ht="14.85" hidden="1" customHeight="1">
      <c r="A63" s="140"/>
      <c r="B63" s="157" t="str">
        <v>Modena hnědá - maximálna odporúčaná dĺžka profilu 2500 mm</v>
      </c>
      <c r="AD63" s="157" t="e">
        <f ca="1"/>
        <v>#N/A</v>
      </c>
    </row>
    <row r="64" spans="1:46" s="157" customFormat="1" ht="14.85" hidden="1" customHeight="1">
      <c r="A64" s="140"/>
      <c r="B64" s="157" t="str">
        <v>Pisa (elox.) - maximálna odporúčaná dĺžka profilu 2500 mm</v>
      </c>
      <c r="AD64" s="157" t="e">
        <f ca="1"/>
        <v>#N/A</v>
      </c>
    </row>
    <row r="65" spans="1:30" s="157" customFormat="1" ht="14.85" hidden="1" customHeight="1">
      <c r="A65" s="140"/>
      <c r="B65" s="157" t="str">
        <v>Pisa biela mat RAL 9003 - maximálna odporúčaná dĺžka profilu 2500 mm</v>
      </c>
      <c r="H65" s="33" t="str">
        <f>'rozpad závěsů bez prázdn. řádků'!$K$1</f>
        <v>krížová skrutka</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výklopu'!$BQ$2,$J$65:$J$71,'Translate&amp;Prices&amp;Logo'!$B$185:$B$186)))</f>
        <v>Horné dvierko</v>
      </c>
      <c r="AD65" s="157" t="e">
        <f ca="1"/>
        <v>#N/A</v>
      </c>
    </row>
    <row r="66" spans="1:30" s="157" customFormat="1" ht="14.85" hidden="1" customHeight="1">
      <c r="A66" s="140"/>
      <c r="B66" s="157" t="str">
        <v>Pisa biela lesk RAL 9003 - maximálna odporúčaná dĺžka profilu 2500 mm</v>
      </c>
      <c r="H66" s="33" t="str">
        <f>'rozpad závěsů bez prázdn. řádků'!$M$1</f>
        <v>na vrut (s excentrom)</v>
      </c>
      <c r="I66" s="159">
        <v>8</v>
      </c>
      <c r="J66" s="32" t="e">
        <f>VLOOKUP($H$15,'rozpad závěsů bez prázdn. řádků'!$G$2:$X$66,I66,0)</f>
        <v>#N/A</v>
      </c>
      <c r="O66" s="157" t="str">
        <v>Spodné dvierko</v>
      </c>
      <c r="AD66" s="157" t="e">
        <f ca="1"/>
        <v>#N/A</v>
      </c>
    </row>
    <row r="67" spans="1:30" s="157" customFormat="1" ht="14.85" hidden="1" customHeight="1">
      <c r="A67" s="140"/>
      <c r="B67" s="157" t="str">
        <v>Pisa čierna matt - maximálna odporúčaná dĺžka profilu 2500 mm</v>
      </c>
      <c r="H67" s="33" t="str">
        <f>'rozpad závěsů bez prázdn. řádků'!$O$1</f>
        <v>euroskrut</v>
      </c>
      <c r="I67" s="159">
        <v>10</v>
      </c>
      <c r="J67" s="32" t="e">
        <f>VLOOKUP($H$15,'rozpad závěsů bez prázdn. řádků'!$G$2:$X$66,I67,0)</f>
        <v>#N/A</v>
      </c>
      <c r="AD67" s="157" t="e">
        <f ca="1"/>
        <v>#N/A</v>
      </c>
    </row>
    <row r="68" spans="1:30" s="157" customFormat="1" ht="14.85" hidden="1" customHeight="1">
      <c r="A68" s="140"/>
      <c r="B68" s="157" t="str">
        <v>Pisa zlatá - maximálna odporúčaná dĺžka profilu 2150 mm</v>
      </c>
      <c r="H68" s="33" t="str">
        <f>'rozpad závěsů bez prázdn. řádků'!$Q$1</f>
        <v>křížová expando</v>
      </c>
      <c r="I68" s="159">
        <v>12</v>
      </c>
      <c r="J68" s="32" t="e">
        <f>VLOOKUP($H$15,'rozpad závěsů bez prázdn. řádků'!$G$2:$X$66,I68,0)</f>
        <v>#N/A</v>
      </c>
      <c r="AD68" s="157" t="e">
        <f ca="1"/>
        <v>#N/A</v>
      </c>
    </row>
    <row r="69" spans="1:30" s="157" customFormat="1" ht="14.85" hidden="1" customHeight="1">
      <c r="A69" s="140"/>
      <c r="B69" s="157" t="str">
        <v>Rocca (elox.) - maximálna odporúčaná dĺžka profilu 2150 mm</v>
      </c>
      <c r="H69" s="33" t="str">
        <f>'rozpad závěsů bez prázdn. řádků'!$S$1</f>
        <v>priama Skrut</v>
      </c>
      <c r="I69" s="159">
        <v>14</v>
      </c>
      <c r="J69" s="32" t="e">
        <f>VLOOKUP($H$15,'rozpad závěsů bez prázdn. řádků'!$G$2:$X$66,I69,0)</f>
        <v>#N/A</v>
      </c>
      <c r="AD69" s="157" t="e">
        <f ca="1"/>
        <v>#N/A</v>
      </c>
    </row>
    <row r="70" spans="1:30" s="157" customFormat="1" ht="14.85" hidden="1" customHeight="1">
      <c r="A70" s="140"/>
      <c r="B70" s="157" t="str">
        <v>Rocca čierna mat - maximálna odporúčaná dĺžka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čierna matt - maximálna odporúčaná dĺžka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maximálna odporúčaná dĺžka profilu 2500 mm</v>
      </c>
      <c r="AD72" s="157" t="e">
        <f ca="1"/>
        <v>#N/A</v>
      </c>
    </row>
    <row r="73" spans="1:30" s="157" customFormat="1" ht="14.85" hidden="1" customHeight="1">
      <c r="A73" s="140"/>
      <c r="B73" s="157" t="str">
        <v>Verona brúsená - maximálna odporúčaná dĺžka profilu 2500 mm</v>
      </c>
      <c r="AD73" s="157" t="e">
        <f ca="1"/>
        <v>#N/A</v>
      </c>
    </row>
    <row r="74" spans="1:30" s="157" customFormat="1" ht="14.85" hidden="1" customHeight="1">
      <c r="A74" s="140"/>
      <c r="B74" s="157" t="str">
        <v>Verona čierna mat - maximálna odporúčaná dĺžka profilu 2500 mm</v>
      </c>
      <c r="AD74" s="157" t="e">
        <f ca="1"/>
        <v>#N/A</v>
      </c>
    </row>
    <row r="75" spans="1:30" s="157" customFormat="1" ht="14.85" hidden="1" customHeight="1">
      <c r="A75" s="140"/>
      <c r="B75" s="157" t="str">
        <v>Verona čierna lesk - maximálna odporúčaná dĺžka profilu 2500 mm</v>
      </c>
      <c r="AD75" s="157" t="e">
        <f ca="1"/>
        <v>#N/A</v>
      </c>
    </row>
    <row r="76" spans="1:30" s="157" customFormat="1" ht="14.85" hidden="1" customHeight="1">
      <c r="A76" s="140"/>
      <c r="B76" s="157" t="str">
        <v>Verona hnědá - maximálna odporúčaná dĺžka profilu 2500 mm</v>
      </c>
      <c r="AD76" s="157" t="e">
        <f ca="1"/>
        <v>#N/A</v>
      </c>
    </row>
    <row r="77" spans="1:30" s="157" customFormat="1" ht="14.85" hidden="1" customHeight="1">
      <c r="A77" s="140"/>
      <c r="B77" s="157" t="str">
        <v>Verona champagne - maximálna odporúčaná dĺžka profilu 2500 mm</v>
      </c>
      <c r="AD77" s="157" t="e">
        <f ca="1"/>
        <v>#N/A</v>
      </c>
    </row>
    <row r="78" spans="1:30" s="157" customFormat="1" ht="14.85" hidden="1" customHeight="1">
      <c r="A78" s="140"/>
      <c r="B78" s="157" t="str">
        <v>Verona nerez brúsená - maximálna odporúčaná dĺžka profilu 2500 mm</v>
      </c>
      <c r="AD78" s="157" t="e">
        <f ca="1"/>
        <v>#N/A</v>
      </c>
    </row>
    <row r="79" spans="1:30" s="157" customFormat="1" ht="14.85" hidden="1" customHeight="1">
      <c r="A79" s="140"/>
      <c r="B79" s="157" t="str">
        <v>Verona svetlá nerez brúsená Acier - maximálna odporúčaná dĺžka profilu 2500 mm</v>
      </c>
      <c r="AD79" s="157" t="e">
        <f ca="1"/>
        <v>#N/A</v>
      </c>
    </row>
    <row r="80" spans="1:30" s="157" customFormat="1" ht="14.85" hidden="1" customHeight="1">
      <c r="A80" s="140"/>
      <c r="B80" s="157" t="str">
        <v>Verona Ivory mat - maximálna odporúčaná dĺžka profilu 2150 mm</v>
      </c>
      <c r="AD80" s="157" t="e">
        <f ca="1"/>
        <v>#N/A</v>
      </c>
    </row>
    <row r="81" spans="1:38" s="157" customFormat="1" ht="14.85" hidden="1" customHeight="1">
      <c r="A81" s="140"/>
      <c r="B81" s="157" t="str">
        <v>Verona kašmír - maximálna odporúčaná dĺžka profilu 2150 mm</v>
      </c>
      <c r="AD81" s="157" t="e">
        <f ca="1"/>
        <v>#N/A</v>
      </c>
    </row>
    <row r="82" spans="1:38" s="157" customFormat="1" ht="14.85" hidden="1" customHeight="1">
      <c r="A82" s="140"/>
      <c r="B82" s="157" t="str">
        <v>Verona zlatá - maximálna odporúčaná dĺžka profilu 2150 mm</v>
      </c>
      <c r="P82" s="157" t="str" cm="1">
        <f t="array" ref="P82:P85">IF(OR(H8=kombinace_1!F18,H8=kombinace_1!F19,H8=kombinace_1!A60,H8=kombinace_1!A61,H8=kombinace_1!A62,H8=kombinace_1!A63),_2_strany,IF(H15=kombinace_1!AB8,_ramena_HL,_4_strany))</f>
        <v>Navrchu</v>
      </c>
      <c r="AD82" s="157" t="e">
        <f ca="1"/>
        <v>#N/A</v>
      </c>
    </row>
    <row r="83" spans="1:38" ht="14.85" hidden="1" customHeight="1">
      <c r="B83" s="138" t="str">
        <v>Verona zlatá brúsená - maximálna odporúčaná dĺžka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maximálna odporúčaná dĺžka profilu 2500 mm</v>
      </c>
      <c r="C84" s="140"/>
      <c r="D84" s="140"/>
      <c r="E84" s="140"/>
      <c r="F84" s="140"/>
      <c r="G84" s="140"/>
      <c r="H84" s="140"/>
      <c r="I84" s="140"/>
      <c r="J84" s="140"/>
      <c r="K84" s="140"/>
      <c r="L84" s="140"/>
      <c r="M84" s="140"/>
      <c r="N84" s="140"/>
      <c r="O84" s="138"/>
      <c r="P84" s="140" t="str">
        <v>Vpravo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čierne mat - maximálna odporúčaná dĺžka profilu 2500 mm</v>
      </c>
      <c r="C85" s="140"/>
      <c r="D85" s="140"/>
      <c r="E85" s="140"/>
      <c r="F85" s="140"/>
      <c r="G85" s="140"/>
      <c r="H85" s="140"/>
      <c r="I85" s="140"/>
      <c r="J85" s="140"/>
      <c r="K85" s="140"/>
      <c r="L85" s="140"/>
      <c r="M85" s="140"/>
      <c r="N85" s="140"/>
      <c r="O85" s="140"/>
      <c r="P85" s="140" t="str">
        <v>Vľavo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maximálna odporúčaná dĺžka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biela matt RAL 9003 - maximálna odporúčaná dĺžka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biela lesk RAL 9003 - maximálna odporúčaná dĺžka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maximálna odporúčaná dĺžka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brúsená - maximálna odporúčaná dĺžka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(Vľavo a vpravo) + Varna elox (Hore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čierna (Vľavo a vpravo) + Varna čierna (Hore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čierna mat - maximálna odporúčaná dĺžka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maximálna odporúčaná dĺžka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čierna mat - maximálna odporúčaná dĺžka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maximálna odporúčaná dĺžka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yKIgyMeVUzqt8QIQa1LqAaOVjuG7RyIua2rNaBph1SbFadG8z1ajdvaxdjO+UeSRf//rNY/hBKegMFItqhCx7A==" saltValue="lCN3XKTl0eB+iEKBqdxvP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459" priority="62" operator="equal">
      <formula>$A$2</formula>
    </cfRule>
  </conditionalFormatting>
  <conditionalFormatting sqref="B16:I16">
    <cfRule type="expression" dxfId="458" priority="322">
      <formula>$AU$19=0</formula>
    </cfRule>
  </conditionalFormatting>
  <conditionalFormatting sqref="B9:Q9">
    <cfRule type="expression" dxfId="457" priority="98">
      <formula>$B$9=0</formula>
    </cfRule>
  </conditionalFormatting>
  <conditionalFormatting sqref="B11:Q11">
    <cfRule type="expression" dxfId="456" priority="303">
      <formula>$AU$10=0</formula>
    </cfRule>
  </conditionalFormatting>
  <conditionalFormatting sqref="B14:Q14">
    <cfRule type="expression" dxfId="455" priority="96">
      <formula>$B$14=0</formula>
    </cfRule>
  </conditionalFormatting>
  <conditionalFormatting sqref="B17:Q17">
    <cfRule type="expression" dxfId="454" priority="90">
      <formula>$B$17=0</formula>
    </cfRule>
  </conditionalFormatting>
  <conditionalFormatting sqref="B18:Q18">
    <cfRule type="expression" dxfId="453" priority="40" stopIfTrue="1">
      <formula>$B$18=0</formula>
    </cfRule>
    <cfRule type="expression" dxfId="452" priority="43">
      <formula>$F$16=$H$61</formula>
    </cfRule>
  </conditionalFormatting>
  <conditionalFormatting sqref="B19:Q19">
    <cfRule type="expression" dxfId="451" priority="89">
      <formula>$B$19=0</formula>
    </cfRule>
  </conditionalFormatting>
  <conditionalFormatting sqref="B20:Q20">
    <cfRule type="expression" dxfId="450" priority="63">
      <formula>$B$20=0</formula>
    </cfRule>
    <cfRule type="expression" dxfId="449" priority="64">
      <formula>$B$19=0</formula>
    </cfRule>
  </conditionalFormatting>
  <conditionalFormatting sqref="B21:Q21">
    <cfRule type="expression" dxfId="448" priority="15">
      <formula>$B$21=" "</formula>
    </cfRule>
  </conditionalFormatting>
  <conditionalFormatting sqref="B24:Q24">
    <cfRule type="expression" dxfId="447" priority="47" stopIfTrue="1">
      <formula>$T$59&lt;3</formula>
    </cfRule>
  </conditionalFormatting>
  <conditionalFormatting sqref="H23">
    <cfRule type="expression" dxfId="446" priority="265">
      <formula>$H$25&gt;0</formula>
    </cfRule>
  </conditionalFormatting>
  <conditionalFormatting sqref="H10:L11">
    <cfRule type="expression" dxfId="445" priority="58">
      <formula>$AU$10=2</formula>
    </cfRule>
  </conditionalFormatting>
  <conditionalFormatting sqref="H10:Q10">
    <cfRule type="expression" dxfId="444" priority="57">
      <formula>$AU$10=0</formula>
    </cfRule>
  </conditionalFormatting>
  <conditionalFormatting sqref="H22:Q22 B22:G23">
    <cfRule type="expression" dxfId="443" priority="52">
      <formula>$AS$33=1</formula>
    </cfRule>
  </conditionalFormatting>
  <conditionalFormatting sqref="J16:M16">
    <cfRule type="expression" dxfId="442" priority="42" stopIfTrue="1">
      <formula>$K$60=TRUE</formula>
    </cfRule>
  </conditionalFormatting>
  <conditionalFormatting sqref="J16:N16">
    <cfRule type="expression" dxfId="441" priority="45" stopIfTrue="1">
      <formula>$AV$19=0</formula>
    </cfRule>
  </conditionalFormatting>
  <conditionalFormatting sqref="M10:Q11">
    <cfRule type="expression" dxfId="440" priority="56">
      <formula>$AU$10=1</formula>
    </cfRule>
  </conditionalFormatting>
  <conditionalFormatting sqref="N16:Q16">
    <cfRule type="expression" dxfId="439" priority="41" stopIfTrue="1">
      <formula>$K$60=TRUE</formula>
    </cfRule>
  </conditionalFormatting>
  <conditionalFormatting sqref="P29:Q29">
    <cfRule type="expression" dxfId="438" priority="1">
      <formula>$U$41=2</formula>
    </cfRule>
  </conditionalFormatting>
  <conditionalFormatting sqref="AA9:AA10 AA24:AA25">
    <cfRule type="expression" dxfId="437" priority="19" stopIfTrue="1">
      <formula>$AU$17=1</formula>
    </cfRule>
  </conditionalFormatting>
  <conditionalFormatting sqref="AA16:AA17">
    <cfRule type="expression" dxfId="436" priority="11" stopIfTrue="1">
      <formula>$AU$24="1_3"</formula>
    </cfRule>
  </conditionalFormatting>
  <conditionalFormatting sqref="AB6 AA6:AA7 AA27 AA28:AB28">
    <cfRule type="expression" dxfId="435" priority="8" stopIfTrue="1">
      <formula>$AV$17=1</formula>
    </cfRule>
  </conditionalFormatting>
  <conditionalFormatting sqref="AB29:AO29">
    <cfRule type="cellIs" dxfId="434" priority="4" operator="equal">
      <formula>0</formula>
    </cfRule>
  </conditionalFormatting>
  <conditionalFormatting sqref="AC6:AD6 AM6:AN6">
    <cfRule type="expression" dxfId="433" priority="23" stopIfTrue="1">
      <formula>$AU$17=3</formula>
    </cfRule>
  </conditionalFormatting>
  <conditionalFormatting sqref="AC25:AD25 AJ26:AJ27">
    <cfRule type="expression" dxfId="432" priority="274">
      <formula>$AU$25=4</formula>
    </cfRule>
  </conditionalFormatting>
  <conditionalFormatting sqref="AC28:AD28 AM28:AN28">
    <cfRule type="expression" dxfId="431" priority="22" stopIfTrue="1">
      <formula>$AU$17=4</formula>
    </cfRule>
  </conditionalFormatting>
  <conditionalFormatting sqref="AC8:AG8">
    <cfRule type="expression" dxfId="430" priority="286">
      <formula>$AU$25=3</formula>
    </cfRule>
  </conditionalFormatting>
  <conditionalFormatting sqref="AC24:AG24">
    <cfRule type="expression" dxfId="429" priority="283">
      <formula>$AU$25=4</formula>
    </cfRule>
  </conditionalFormatting>
  <conditionalFormatting sqref="AD10:AD12 AB19:AC19">
    <cfRule type="expression" dxfId="428" priority="268">
      <formula>$AU$25=1</formula>
    </cfRule>
  </conditionalFormatting>
  <conditionalFormatting sqref="AD14:AD21">
    <cfRule type="expression" dxfId="427" priority="267">
      <formula>$AU$25=1</formula>
    </cfRule>
  </conditionalFormatting>
  <conditionalFormatting sqref="AE10:AE16">
    <cfRule type="expression" dxfId="426" priority="284">
      <formula>$AU$25=1</formula>
    </cfRule>
  </conditionalFormatting>
  <conditionalFormatting sqref="AF9:AK9">
    <cfRule type="expression" dxfId="425" priority="271">
      <formula>$AU$25=3</formula>
    </cfRule>
  </conditionalFormatting>
  <conditionalFormatting sqref="AF25:AK25">
    <cfRule type="expression" dxfId="424" priority="273">
      <formula>$AU$25=4</formula>
    </cfRule>
  </conditionalFormatting>
  <conditionalFormatting sqref="AG6:AH6">
    <cfRule type="expression" dxfId="423" priority="17" stopIfTrue="1">
      <formula>$AU$24="3_3"</formula>
    </cfRule>
  </conditionalFormatting>
  <conditionalFormatting sqref="AG28:AH28">
    <cfRule type="expression" dxfId="422" priority="16" stopIfTrue="1">
      <formula>$AU$24="4_3"</formula>
    </cfRule>
  </conditionalFormatting>
  <conditionalFormatting sqref="AJ7:AJ8 AC9:AD9">
    <cfRule type="expression" dxfId="421" priority="272">
      <formula>$AU$25=3</formula>
    </cfRule>
  </conditionalFormatting>
  <conditionalFormatting sqref="AL19:AL25">
    <cfRule type="expression" dxfId="420" priority="285">
      <formula>$AU$25=2</formula>
    </cfRule>
  </conditionalFormatting>
  <conditionalFormatting sqref="AM14:AM21">
    <cfRule type="expression" dxfId="419" priority="269">
      <formula>$AU$25=2</formula>
    </cfRule>
  </conditionalFormatting>
  <conditionalFormatting sqref="AN19:AO19 AM23:AM25">
    <cfRule type="expression" dxfId="418" priority="270">
      <formula>$AU$25=2</formula>
    </cfRule>
  </conditionalFormatting>
  <conditionalFormatting sqref="AO6 AP6:AP7 AP27 AO28:AP28">
    <cfRule type="expression" dxfId="417" priority="7" stopIfTrue="1">
      <formula>$AV$17=2</formula>
    </cfRule>
  </conditionalFormatting>
  <conditionalFormatting sqref="AP9:AP10 AP24:AP25">
    <cfRule type="expression" dxfId="416" priority="18" stopIfTrue="1">
      <formula>$AU$17=2</formula>
    </cfRule>
  </conditionalFormatting>
  <conditionalFormatting sqref="AP16:AP17">
    <cfRule type="expression" dxfId="415" priority="26" stopIfTrue="1">
      <formula>$AU$24="2_3"</formula>
    </cfRule>
  </conditionalFormatting>
  <dataValidations disablePrompts="1"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B36:B96</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$AD$54:$AD$96</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17" ma:contentTypeDescription="Vytvoří nový dokument" ma:contentTypeScope="" ma:versionID="a5b1f0b45e4fc21665b8cd07c5ec4b1e">
  <xsd:schema xmlns:xsd="http://www.w3.org/2001/XMLSchema" xmlns:xs="http://www.w3.org/2001/XMLSchema" xmlns:p="http://schemas.microsoft.com/office/2006/metadata/properties" xmlns:ns2="cd5ff2c2-d0f5-469d-bf4e-c27dd00b986b" xmlns:ns3="9cacabe1-a925-4c8e-93ad-bc3cc27619b4" targetNamespace="http://schemas.microsoft.com/office/2006/metadata/properties" ma:root="true" ma:fieldsID="6daa144c46561d03e42af4e2d7e9542a" ns2:_="" ns3:_="">
    <xsd:import namespace="cd5ff2c2-d0f5-469d-bf4e-c27dd00b986b"/>
    <xsd:import namespace="9cacabe1-a925-4c8e-93ad-bc3cc27619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Asan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864a384c-dde1-4814-9aab-284c87304fd8}" ma:internalName="TaxCatchAll"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sana" ma:index="22" nillable="true" ma:displayName="Asana" ma:description="Odkaz na položku roadmapy do Asany" ma:format="Hyperlink" ma:internalName="Asan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Props1.xml><?xml version="1.0" encoding="utf-8"?>
<ds:datastoreItem xmlns:ds="http://schemas.openxmlformats.org/officeDocument/2006/customXml" ds:itemID="{1FE8B103-C531-48C4-8F70-0ED5379DC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ff2c2-d0f5-469d-bf4e-c27dd00b986b"/>
    <ds:schemaRef ds:uri="9cacabe1-a925-4c8e-93ad-bc3cc276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DC5C0-9A8E-44A5-8971-A70FA6400C5D}">
  <ds:schemaRefs>
    <ds:schemaRef ds:uri="http://schemas.microsoft.com/sharepoint/v3/contenttype/forms"/>
  </ds:schemaRefs>
</ds:datastoreItem>
</file>

<file path=customXml/itemProps3.xml><?xml version="1.0" encoding="utf-8"?>
<ds:datastoreItem xmlns:ds="http://schemas.openxmlformats.org/officeDocument/2006/customXml" ds:itemID="{DA83E9FC-7A4F-40D8-8A52-81C734DA3A8D}">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9cacabe1-a925-4c8e-93ad-bc3cc27619b4"/>
    <ds:schemaRef ds:uri="cd5ff2c2-d0f5-469d-bf4e-c27dd00b9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2026-07-29T12:51:13Z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